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Dashboard" sheetId="1" state="visible" r:id="rId1"/>
    <sheet xmlns:r="http://schemas.openxmlformats.org/officeDocument/2006/relationships" name="Camera Schedule" sheetId="2" state="visible" r:id="rId2"/>
    <sheet xmlns:r="http://schemas.openxmlformats.org/officeDocument/2006/relationships" name="Storage Calculator" sheetId="3" state="visible" r:id="rId3"/>
    <sheet xmlns:r="http://schemas.openxmlformats.org/officeDocument/2006/relationships" name="PoE Budget" sheetId="4" state="visible" r:id="rId4"/>
    <sheet xmlns:r="http://schemas.openxmlformats.org/officeDocument/2006/relationships" name="Bill of Materials" sheetId="5" state="visible" r:id="rId5"/>
    <sheet xmlns:r="http://schemas.openxmlformats.org/officeDocument/2006/relationships" name="Design Validation" sheetId="6" state="visible" r:id="rId6"/>
    <sheet xmlns:r="http://schemas.openxmlformats.org/officeDocument/2006/relationships" name="Release Not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FFFFFF"/>
      <sz val="10"/>
    </font>
    <font>
      <name val="Calibri"/>
      <b val="1"/>
      <color rgb="00001F5B"/>
      <sz val="10"/>
    </font>
    <font>
      <name val="Calibri"/>
      <b val="1"/>
      <color rgb="00E8500A"/>
      <sz val="10"/>
    </font>
    <font>
      <name val="Calibri"/>
      <color rgb="00000000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color rgb="00000000"/>
      <sz val="9"/>
    </font>
    <font>
      <name val="Calibri"/>
      <b val="1"/>
      <color rgb="00027A48"/>
      <sz val="9"/>
    </font>
    <font>
      <name val="Calibri"/>
      <color rgb="00475467"/>
      <sz val="9"/>
    </font>
    <font>
      <name val="Calibri"/>
      <b val="1"/>
      <color rgb="00475467"/>
      <sz val="9"/>
    </font>
    <font>
      <name val="Calibri"/>
      <b val="1"/>
      <color rgb="00FFFFFF"/>
      <sz val="13"/>
    </font>
    <font>
      <name val="Calibri"/>
      <i val="1"/>
      <color rgb="00FFFFFF"/>
      <sz val="9"/>
    </font>
    <font>
      <name val="Calibri"/>
      <b val="1"/>
      <color rgb="00001F5B"/>
      <sz val="8"/>
    </font>
    <font>
      <name val="Calibri"/>
      <b val="1"/>
      <color rgb="00E8500A"/>
      <sz val="12"/>
    </font>
    <font>
      <name val="Calibri"/>
      <color rgb="00475467"/>
      <sz val="8"/>
    </font>
    <font>
      <name val="Calibri"/>
      <b val="1"/>
      <color rgb="00001F5B"/>
      <sz val="9"/>
    </font>
    <font>
      <name val="Calibri"/>
      <color rgb="00027A48"/>
      <sz val="9"/>
    </font>
    <font>
      <name val="Calibri"/>
      <b val="1"/>
      <color rgb="00000000"/>
      <sz val="9"/>
    </font>
    <font>
      <name val="Calibri"/>
      <color rgb="00E8500A"/>
      <sz val="9"/>
    </font>
    <font>
      <name val="Calibri"/>
      <b val="1"/>
      <color rgb="00027A48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E8500A"/>
      <sz val="9"/>
    </font>
  </fonts>
  <fills count="12">
    <fill>
      <patternFill/>
    </fill>
    <fill>
      <patternFill patternType="gray125"/>
    </fill>
    <fill>
      <patternFill patternType="solid">
        <fgColor rgb="00001F5B"/>
      </patternFill>
    </fill>
    <fill>
      <patternFill patternType="solid">
        <fgColor rgb="00003087"/>
      </patternFill>
    </fill>
    <fill>
      <patternFill patternType="solid">
        <fgColor rgb="00F2F4F7"/>
      </patternFill>
    </fill>
    <fill>
      <patternFill patternType="solid">
        <fgColor rgb="000057A8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475467"/>
      </patternFill>
    </fill>
    <fill>
      <patternFill patternType="solid">
        <fgColor rgb="00E8500A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6" fillId="3" borderId="0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0" fontId="9" fillId="4" borderId="1" applyAlignment="1" pivotButton="0" quotePrefix="0" xfId="0">
      <alignment horizontal="left" vertical="center"/>
    </xf>
    <xf numFmtId="0" fontId="10" fillId="4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left" vertical="center"/>
    </xf>
    <xf numFmtId="0" fontId="10" fillId="0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left" vertical="center"/>
    </xf>
    <xf numFmtId="0" fontId="11" fillId="0" borderId="1" applyAlignment="1" pivotButton="0" quotePrefix="0" xfId="0">
      <alignment horizontal="left" vertical="center"/>
    </xf>
    <xf numFmtId="0" fontId="12" fillId="2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14" fillId="4" borderId="1" applyAlignment="1" pivotButton="0" quotePrefix="0" xfId="0">
      <alignment horizontal="left" vertical="center"/>
    </xf>
    <xf numFmtId="0" fontId="15" fillId="0" borderId="1" applyAlignment="1" pivotButton="0" quotePrefix="0" xfId="0">
      <alignment horizontal="center" vertical="center"/>
    </xf>
    <xf numFmtId="0" fontId="16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0" fontId="17" fillId="6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center"/>
    </xf>
    <xf numFmtId="0" fontId="18" fillId="9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7" fillId="0" borderId="0" pivotButton="0" quotePrefix="0" xfId="0"/>
    <xf numFmtId="0" fontId="16" fillId="8" borderId="0" applyAlignment="1" pivotButton="0" quotePrefix="0" xfId="0">
      <alignment horizontal="left" vertical="center"/>
    </xf>
    <xf numFmtId="0" fontId="16" fillId="9" borderId="0" applyAlignment="1" pivotButton="0" quotePrefix="0" xfId="0">
      <alignment horizontal="left" vertical="center"/>
    </xf>
    <xf numFmtId="0" fontId="16" fillId="7" borderId="0" applyAlignment="1" pivotButton="0" quotePrefix="0" xfId="0">
      <alignment horizontal="left" vertical="center"/>
    </xf>
    <xf numFmtId="0" fontId="19" fillId="7" borderId="1" applyAlignment="1" pivotButton="0" quotePrefix="0" xfId="0">
      <alignment horizontal="left" vertical="center"/>
    </xf>
    <xf numFmtId="0" fontId="19" fillId="7" borderId="1" applyAlignment="1" pivotButton="0" quotePrefix="0" xfId="0">
      <alignment horizontal="center" vertical="center"/>
    </xf>
    <xf numFmtId="0" fontId="20" fillId="7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left" vertical="center"/>
    </xf>
    <xf numFmtId="0" fontId="19" fillId="4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6" fillId="1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 wrapText="1"/>
    </xf>
    <xf numFmtId="0" fontId="17" fillId="8" borderId="1" applyAlignment="1" pivotButton="0" quotePrefix="0" xfId="0">
      <alignment horizontal="center" vertical="center"/>
    </xf>
    <xf numFmtId="0" fontId="21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22" fillId="11" borderId="1" applyAlignment="1" pivotButton="0" quotePrefix="0" xfId="0">
      <alignment horizontal="center" vertical="center"/>
    </xf>
    <xf numFmtId="0" fontId="22" fillId="2" borderId="1" applyAlignment="1" pivotButton="0" quotePrefix="0" xfId="0">
      <alignment horizontal="left" vertical="center"/>
    </xf>
    <xf numFmtId="0" fontId="23" fillId="11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 wrapText="1"/>
    </xf>
    <xf numFmtId="0" fontId="17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 wrapText="1"/>
    </xf>
    <xf numFmtId="0" fontId="6" fillId="11" borderId="0" applyAlignment="1" pivotButton="0" quotePrefix="0" xfId="0">
      <alignment horizontal="left" vertical="center"/>
    </xf>
    <xf numFmtId="0" fontId="6" fillId="5" borderId="0" applyAlignment="1" pivotButton="0" quotePrefix="0" xfId="0">
      <alignment horizontal="left" vertical="center"/>
    </xf>
    <xf numFmtId="0" fontId="24" fillId="9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left" vertical="center"/>
    </xf>
    <xf numFmtId="0" fontId="8" fillId="9" borderId="1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1F5B"/>
    <outlinePr summaryBelow="1" summaryRight="1"/>
    <pageSetUpPr/>
  </sheetPr>
  <dimension ref="A1:I3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4" customWidth="1" min="1" max="1"/>
    <col width="20" customWidth="1" min="2" max="2"/>
    <col width="14" customWidth="1" min="3" max="3"/>
    <col width="12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</cols>
  <sheetData>
    <row r="1" ht="26" customHeight="1">
      <c r="A1" s="1" t="inlineStr">
        <is>
          <t>COPELAND DESIGN STUDIO — PROJECT DASHBOARD</t>
        </is>
      </c>
    </row>
    <row r="2" ht="8" customHeight="1"/>
    <row r="3" ht="16" customHeight="1">
      <c r="A3" s="2" t="inlineStr">
        <is>
          <t>Copeland Group Services  |  Engineering Design Toolkit  |  v1.6 — Smart Workbook</t>
        </is>
      </c>
    </row>
    <row r="5" ht="18" customHeight="1">
      <c r="A5" s="3" t="inlineStr">
        <is>
          <t>Current Version</t>
        </is>
      </c>
      <c r="C5" s="4" t="inlineStr">
        <is>
          <t>v1.6</t>
        </is>
      </c>
    </row>
    <row r="6" ht="18" customHeight="1">
      <c r="A6" s="3" t="inlineStr">
        <is>
          <t>Version Name</t>
        </is>
      </c>
      <c r="C6" s="5" t="inlineStr">
        <is>
          <t>Smart Workbook</t>
        </is>
      </c>
    </row>
    <row r="7" ht="18" customHeight="1">
      <c r="A7" s="3" t="inlineStr">
        <is>
          <t>Status</t>
        </is>
      </c>
      <c r="C7" s="5" t="inlineStr">
        <is>
          <t>ACTIVE</t>
        </is>
      </c>
    </row>
    <row r="8" ht="18" customHeight="1">
      <c r="A8" s="3" t="inlineStr">
        <is>
          <t>Current Sprint</t>
        </is>
      </c>
      <c r="C8" s="5" t="inlineStr">
        <is>
          <t>Sprint 2 — Smart Engine</t>
        </is>
      </c>
    </row>
    <row r="9" ht="18" customHeight="1">
      <c r="A9" s="3" t="inlineStr">
        <is>
          <t>Sprint Start</t>
        </is>
      </c>
      <c r="C9" s="5" t="inlineStr">
        <is>
          <t>2026-06-27</t>
        </is>
      </c>
    </row>
    <row r="10" ht="18" customHeight="1">
      <c r="A10" s="3" t="inlineStr">
        <is>
          <t>Sprint End</t>
        </is>
      </c>
      <c r="C10" s="5" t="inlineStr">
        <is>
          <t>2026-07-11</t>
        </is>
      </c>
    </row>
    <row r="11" ht="18" customHeight="1">
      <c r="A11" s="3" t="inlineStr">
        <is>
          <t>Toolkit Owner</t>
        </is>
      </c>
      <c r="C11" s="5" t="inlineStr">
        <is>
          <t>Copeland Group Services</t>
        </is>
      </c>
    </row>
    <row r="12" ht="18" customHeight="1">
      <c r="A12" s="3" t="inlineStr">
        <is>
          <t>Maintained By</t>
        </is>
      </c>
      <c r="C12" s="5" t="inlineStr">
        <is>
          <t>PaulMc</t>
        </is>
      </c>
    </row>
    <row r="14" ht="20" customHeight="1">
      <c r="A14" s="6" t="inlineStr">
        <is>
          <t xml:space="preserve">  SPRINT 2 — SMART WORKBOOK FEATURES</t>
        </is>
      </c>
    </row>
    <row r="15" ht="18" customHeight="1">
      <c r="A15" s="7" t="inlineStr">
        <is>
          <t>Task</t>
        </is>
      </c>
      <c r="B15" s="7" t="inlineStr">
        <is>
          <t>Status</t>
        </is>
      </c>
      <c r="C15" s="7" t="inlineStr">
        <is>
          <t>Owner</t>
        </is>
      </c>
      <c r="D15" s="7" t="inlineStr">
        <is>
          <t>Version</t>
        </is>
      </c>
    </row>
    <row r="16" ht="16" customHeight="1">
      <c r="A16" s="8" t="inlineStr">
        <is>
          <t>Camera Schedule — smart entry sheet</t>
        </is>
      </c>
      <c r="B16" s="9" t="inlineStr">
        <is>
          <t>COMPLETE</t>
        </is>
      </c>
      <c r="C16" s="8" t="inlineStr">
        <is>
          <t>PaulMc</t>
        </is>
      </c>
      <c r="D16" s="10" t="inlineStr">
        <is>
          <t>v1.6</t>
        </is>
      </c>
    </row>
    <row r="17" ht="16" customHeight="1">
      <c r="A17" s="11" t="inlineStr">
        <is>
          <t>Camera type dropdown (13 types)</t>
        </is>
      </c>
      <c r="B17" s="12" t="inlineStr">
        <is>
          <t>COMPLETE</t>
        </is>
      </c>
      <c r="C17" s="11" t="inlineStr">
        <is>
          <t>PaulMc</t>
        </is>
      </c>
      <c r="D17" s="13" t="inlineStr">
        <is>
          <t>v1.6</t>
        </is>
      </c>
    </row>
    <row r="18" ht="16" customHeight="1">
      <c r="A18" s="8" t="inlineStr">
        <is>
          <t>Auto camera numbering (CAM-001…)</t>
        </is>
      </c>
      <c r="B18" s="9" t="inlineStr">
        <is>
          <t>COMPLETE</t>
        </is>
      </c>
      <c r="C18" s="8" t="inlineStr">
        <is>
          <t>PaulMc</t>
        </is>
      </c>
      <c r="D18" s="10" t="inlineStr">
        <is>
          <t>v1.6</t>
        </is>
      </c>
    </row>
    <row r="19" ht="16" customHeight="1">
      <c r="A19" s="11" t="inlineStr">
        <is>
          <t>Resolution dropdown + auto bitrate suggest</t>
        </is>
      </c>
      <c r="B19" s="12" t="inlineStr">
        <is>
          <t>COMPLETE</t>
        </is>
      </c>
      <c r="C19" s="11" t="inlineStr">
        <is>
          <t>PaulMc</t>
        </is>
      </c>
      <c r="D19" s="13" t="inlineStr">
        <is>
          <t>v1.6</t>
        </is>
      </c>
    </row>
    <row r="20" ht="16" customHeight="1">
      <c r="A20" s="8" t="inlineStr">
        <is>
          <t>Lens dropdown + H-FoV auto-calculation</t>
        </is>
      </c>
      <c r="B20" s="9" t="inlineStr">
        <is>
          <t>COMPLETE</t>
        </is>
      </c>
      <c r="C20" s="8" t="inlineStr">
        <is>
          <t>PaulMc</t>
        </is>
      </c>
      <c r="D20" s="10" t="inlineStr">
        <is>
          <t>v1.6</t>
        </is>
      </c>
    </row>
    <row r="21" ht="16" customHeight="1">
      <c r="A21" s="11" t="inlineStr">
        <is>
          <t>Daily storage auto-calculation (GB/day)</t>
        </is>
      </c>
      <c r="B21" s="12" t="inlineStr">
        <is>
          <t>COMPLETE</t>
        </is>
      </c>
      <c r="C21" s="11" t="inlineStr">
        <is>
          <t>PaulMc</t>
        </is>
      </c>
      <c r="D21" s="13" t="inlineStr">
        <is>
          <t>v1.6</t>
        </is>
      </c>
    </row>
    <row r="22" ht="16" customHeight="1">
      <c r="A22" s="8" t="inlineStr">
        <is>
          <t>Storage Calculator sheet</t>
        </is>
      </c>
      <c r="B22" s="9" t="inlineStr">
        <is>
          <t>COMPLETE</t>
        </is>
      </c>
      <c r="C22" s="8" t="inlineStr">
        <is>
          <t>PaulMc</t>
        </is>
      </c>
      <c r="D22" s="10" t="inlineStr">
        <is>
          <t>v1.6</t>
        </is>
      </c>
    </row>
    <row r="23" ht="16" customHeight="1">
      <c r="A23" s="11" t="inlineStr">
        <is>
          <t>PoE Budget sheet (per switch)</t>
        </is>
      </c>
      <c r="B23" s="12" t="inlineStr">
        <is>
          <t>COMPLETE</t>
        </is>
      </c>
      <c r="C23" s="11" t="inlineStr">
        <is>
          <t>PaulMc</t>
        </is>
      </c>
      <c r="D23" s="13" t="inlineStr">
        <is>
          <t>v1.6</t>
        </is>
      </c>
    </row>
    <row r="24" ht="16" customHeight="1">
      <c r="A24" s="8" t="inlineStr">
        <is>
          <t>Bill of Materials (auto-aggregated)</t>
        </is>
      </c>
      <c r="B24" s="9" t="inlineStr">
        <is>
          <t>COMPLETE</t>
        </is>
      </c>
      <c r="C24" s="8" t="inlineStr">
        <is>
          <t>PaulMc</t>
        </is>
      </c>
      <c r="D24" s="10" t="inlineStr">
        <is>
          <t>v1.6</t>
        </is>
      </c>
    </row>
    <row r="25" ht="16" customHeight="1">
      <c r="A25" s="11" t="inlineStr">
        <is>
          <t>Design validation summary</t>
        </is>
      </c>
      <c r="B25" s="12" t="inlineStr">
        <is>
          <t>COMPLETE</t>
        </is>
      </c>
      <c r="C25" s="11" t="inlineStr">
        <is>
          <t>PaulMc</t>
        </is>
      </c>
      <c r="D25" s="13" t="inlineStr">
        <is>
          <t>v1.6</t>
        </is>
      </c>
    </row>
    <row r="26" ht="16" customHeight="1">
      <c r="A26" s="8" t="inlineStr">
        <is>
          <t>Vector symbol library (SVG/CAD)</t>
        </is>
      </c>
      <c r="B26" s="14" t="inlineStr">
        <is>
          <t>PLANNED</t>
        </is>
      </c>
      <c r="C26" s="8" t="inlineStr">
        <is>
          <t>PaulMc</t>
        </is>
      </c>
      <c r="D26" s="10" t="inlineStr">
        <is>
          <t>v1.7</t>
        </is>
      </c>
    </row>
    <row r="27" ht="16" customHeight="1">
      <c r="A27" s="11" t="inlineStr">
        <is>
          <t>Professional drawing sheet upgrade</t>
        </is>
      </c>
      <c r="B27" s="15" t="inlineStr">
        <is>
          <t>PLANNED</t>
        </is>
      </c>
      <c r="C27" s="11" t="inlineStr">
        <is>
          <t>PaulMc</t>
        </is>
      </c>
      <c r="D27" s="13" t="inlineStr">
        <is>
          <t>v1.7</t>
        </is>
      </c>
    </row>
    <row r="28" ht="16" customHeight="1">
      <c r="A28" s="8" t="inlineStr">
        <is>
          <t>Survey forms — CCTV (Word+PDF)</t>
        </is>
      </c>
      <c r="B28" s="14" t="inlineStr">
        <is>
          <t>PLANNED</t>
        </is>
      </c>
      <c r="C28" s="8" t="inlineStr">
        <is>
          <t>PaulMc</t>
        </is>
      </c>
      <c r="D28" s="10" t="inlineStr">
        <is>
          <t>v1.2</t>
        </is>
      </c>
    </row>
    <row r="29" ht="16" customHeight="1">
      <c r="A29" s="11" t="inlineStr">
        <is>
          <t>Survey forms — Intruder (Word+PDF)</t>
        </is>
      </c>
      <c r="B29" s="15" t="inlineStr">
        <is>
          <t>PLANNED</t>
        </is>
      </c>
      <c r="C29" s="11" t="inlineStr">
        <is>
          <t>PaulMc</t>
        </is>
      </c>
      <c r="D29" s="13" t="inlineStr">
        <is>
          <t>v1.2</t>
        </is>
      </c>
    </row>
    <row r="30" ht="16" customHeight="1">
      <c r="A30" s="8" t="inlineStr">
        <is>
          <t>Full Design Manual v2.0</t>
        </is>
      </c>
      <c r="B30" s="14" t="inlineStr">
        <is>
          <t>PLANNED</t>
        </is>
      </c>
      <c r="C30" s="8" t="inlineStr">
        <is>
          <t>PaulMc</t>
        </is>
      </c>
      <c r="D30" s="10" t="inlineStr">
        <is>
          <t>v2.0</t>
        </is>
      </c>
    </row>
  </sheetData>
  <mergeCells count="19">
    <mergeCell ref="A11:B11"/>
    <mergeCell ref="C9:E9"/>
    <mergeCell ref="A3:I3"/>
    <mergeCell ref="C12:E12"/>
    <mergeCell ref="A6:B6"/>
    <mergeCell ref="C11:E11"/>
    <mergeCell ref="A7:B7"/>
    <mergeCell ref="A14:I14"/>
    <mergeCell ref="C8:E8"/>
    <mergeCell ref="A1:I2"/>
    <mergeCell ref="C7:E7"/>
    <mergeCell ref="A12:B12"/>
    <mergeCell ref="A5:B5"/>
    <mergeCell ref="A8:B8"/>
    <mergeCell ref="C6:E6"/>
    <mergeCell ref="C5:E5"/>
    <mergeCell ref="A10:B10"/>
    <mergeCell ref="A9:B9"/>
    <mergeCell ref="C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2318"/>
    <outlinePr summaryBelow="1" summaryRight="1"/>
    <pageSetUpPr/>
  </sheetPr>
  <dimension ref="A1:T6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22" customWidth="1" min="4" max="4"/>
    <col width="12" customWidth="1" min="5" max="5"/>
    <col width="10" customWidth="1" min="6" max="6"/>
    <col width="9" customWidth="1" min="7" max="7"/>
    <col width="9" customWidth="1" min="8" max="8"/>
    <col width="12" customWidth="1" min="9" max="9"/>
    <col width="8" customWidth="1" min="10" max="10"/>
    <col width="10" customWidth="1" min="11" max="11"/>
    <col width="12" customWidth="1" min="12" max="12"/>
    <col width="12" customWidth="1" min="13" max="13"/>
    <col width="10" customWidth="1" min="14" max="14"/>
    <col width="11" customWidth="1" min="15" max="15"/>
    <col width="9" customWidth="1" min="16" max="16"/>
    <col width="9" customWidth="1" min="17" max="17"/>
    <col width="8" customWidth="1" min="18" max="18"/>
    <col width="14" customWidth="1" min="19" max="19"/>
    <col width="12" customWidth="1" min="20" max="20"/>
  </cols>
  <sheetData>
    <row r="1" ht="24" customHeight="1">
      <c r="A1" s="16" t="inlineStr">
        <is>
          <t>COPELAND GROUP SERVICES — CCTV CAMERA SCHEDULE</t>
        </is>
      </c>
    </row>
    <row r="2" ht="8" customHeight="1"/>
    <row r="3" ht="16" customHeight="1">
      <c r="A3" s="17" t="inlineStr">
        <is>
          <t>Project:  [Project Name]   |   Drawing Ref: CAM-001   |   Rev: P1   |   Date: 2026-06-27   |   Prepared by: PaulMc</t>
        </is>
      </c>
    </row>
    <row r="5" ht="20" customHeight="1">
      <c r="A5" s="18" t="inlineStr">
        <is>
          <t xml:space="preserve">  SCHEDULE SUMMARY — AUTO-CALCULATED</t>
        </is>
      </c>
    </row>
    <row r="6" ht="22" customHeight="1">
      <c r="A6" s="19" t="inlineStr">
        <is>
          <t>Total Cameras</t>
        </is>
      </c>
      <c r="B6" s="20">
        <f>COUNTA(C9:C58)</f>
        <v/>
      </c>
      <c r="C6" s="21" t="inlineStr">
        <is>
          <t>Camera Count</t>
        </is>
      </c>
      <c r="D6" s="19" t="inlineStr">
        <is>
          <t>PoE Cameras</t>
        </is>
      </c>
      <c r="E6" s="20">
        <f>COUNTIF(P9:P58,"PoE*")</f>
        <v/>
      </c>
      <c r="F6" s="21" t="inlineStr">
        <is>
          <t>Power</t>
        </is>
      </c>
      <c r="G6" s="19" t="inlineStr">
        <is>
          <t>Total Storage / Day (GB)</t>
        </is>
      </c>
      <c r="H6" s="20">
        <f>ROUND(SUM(N9:N58),1)</f>
        <v/>
      </c>
      <c r="I6" s="21" t="inlineStr">
        <is>
          <t>GB/day</t>
        </is>
      </c>
      <c r="J6" s="19" t="inlineStr">
        <is>
          <t>Storage — 14 days (GB)</t>
        </is>
      </c>
      <c r="K6" s="20">
        <f>ROUND(SUM(N9:N58)*14,0)</f>
        <v/>
      </c>
      <c r="L6" s="21" t="inlineStr">
        <is>
          <t>Retention</t>
        </is>
      </c>
      <c r="M6" s="19" t="inlineStr">
        <is>
          <t>Storage — 31 days (GB)</t>
        </is>
      </c>
      <c r="N6" s="20">
        <f>ROUND(SUM(N9:N58)*31,0)</f>
        <v/>
      </c>
      <c r="O6" s="21" t="inlineStr">
        <is>
          <t>Retention</t>
        </is>
      </c>
      <c r="P6" s="19" t="inlineStr">
        <is>
          <t>Total PoE Draw (W)</t>
        </is>
      </c>
      <c r="Q6" s="20">
        <f>SUMIF(P9:P58,"PoE*",R9:R58)</f>
        <v/>
      </c>
      <c r="R6" s="21" t="inlineStr">
        <is>
          <t>Power Budget</t>
        </is>
      </c>
    </row>
    <row r="7" ht="8" customHeight="1"/>
    <row r="8" ht="30" customHeight="1">
      <c r="A8" s="22" t="inlineStr">
        <is>
          <t>CAM No.</t>
        </is>
      </c>
      <c r="B8" s="22" t="inlineStr">
        <is>
          <t>Location / Area</t>
        </is>
      </c>
      <c r="C8" s="22" t="inlineStr">
        <is>
          <t>Camera Type</t>
        </is>
      </c>
      <c r="D8" s="22" t="inlineStr">
        <is>
          <t>Make / Model</t>
        </is>
      </c>
      <c r="E8" s="22" t="inlineStr">
        <is>
          <t>Resolution</t>
        </is>
      </c>
      <c r="F8" s="22" t="inlineStr">
        <is>
          <t>Lens</t>
        </is>
      </c>
      <c r="G8" s="22" t="inlineStr">
        <is>
          <t>H-FoV °</t>
        </is>
      </c>
      <c r="H8" s="22" t="inlineStr">
        <is>
          <t>Ht (m) AFF</t>
        </is>
      </c>
      <c r="I8" s="22" t="inlineStr">
        <is>
          <t>Mount</t>
        </is>
      </c>
      <c r="J8" s="22" t="inlineStr">
        <is>
          <t>IR (m)</t>
        </is>
      </c>
      <c r="K8" s="22" t="inlineStr">
        <is>
          <t>IP Rating</t>
        </is>
      </c>
      <c r="L8" s="22" t="inlineStr">
        <is>
          <t>Compression</t>
        </is>
      </c>
      <c r="M8" s="22" t="inlineStr">
        <is>
          <t>Bitrate Mbps</t>
        </is>
      </c>
      <c r="N8" s="22" t="inlineStr">
        <is>
          <t>GB / Day</t>
        </is>
      </c>
      <c r="O8" s="22" t="inlineStr">
        <is>
          <t>Retention days</t>
        </is>
      </c>
      <c r="P8" s="22" t="inlineStr">
        <is>
          <t>Power</t>
        </is>
      </c>
      <c r="Q8" s="22" t="inlineStr">
        <is>
          <t>PoE Class</t>
        </is>
      </c>
      <c r="R8" s="22" t="inlineStr">
        <is>
          <t>Watts</t>
        </is>
      </c>
      <c r="S8" s="22" t="inlineStr">
        <is>
          <t>Switch / Port</t>
        </is>
      </c>
      <c r="T8" s="22" t="inlineStr">
        <is>
          <t>NVR / Ch</t>
        </is>
      </c>
    </row>
    <row r="9" ht="16" customHeight="1">
      <c r="A9" s="23">
        <f>IF(B9="","","CAM-"&amp;TEXT(1,"000"))</f>
        <v/>
      </c>
      <c r="B9" s="24" t="inlineStr"/>
      <c r="C9" s="25" t="inlineStr"/>
      <c r="D9" s="24" t="inlineStr"/>
      <c r="E9" s="25" t="inlineStr"/>
      <c r="F9" s="25" t="inlineStr"/>
      <c r="G9" s="26">
        <f>IF(F9="","",IF(F9="1.68mm (Fisheye)","360°",IF(F9="2.8mm","110°",IF(F9="4mm","90°",IF(F9="6mm","60°",IF(F9="8mm","40°",IF(F9="12mm","25°",IF(F9="16mm","18°","Variable"))))))))</f>
        <v/>
      </c>
      <c r="H9" s="24" t="inlineStr"/>
      <c r="I9" s="25" t="inlineStr"/>
      <c r="J9" s="24" t="inlineStr"/>
      <c r="K9" s="25" t="inlineStr"/>
      <c r="L9" s="25" t="inlineStr"/>
      <c r="M9" s="27">
        <f>IF(E9="","",IF(E9="2MP (1080p)",2,IF(E9="4MP (2.7K)",4,IF(E9="5MP",5,IF(E9="6MP",6,IF(E9="8MP (4K)",8,IF(E9="12MP",12,4)))))))</f>
        <v/>
      </c>
      <c r="N9" s="26">
        <f>IF(M9="","",ROUND(M9*3600*24/8/1000,2))</f>
        <v/>
      </c>
      <c r="O9" s="28" t="n">
        <v>31</v>
      </c>
      <c r="P9" s="25" t="inlineStr"/>
      <c r="Q9" s="25" t="inlineStr"/>
      <c r="R9" s="26">
        <f>IF(Q9="","",IF(Q9="Class 1 (4W)",4,IF(Q9="Class 2 (7W)",7,IF(Q9="Class 3 (15.4W)",15.4,IF(Q9="Class 4 (30W)",30,IF(Q9="Class 5 (45W)",45,IF(Q9="Class 6 (60W)",60,IF(Q9="Class 8 (90W)",90,0))))))))</f>
        <v/>
      </c>
      <c r="S9" s="24" t="inlineStr"/>
      <c r="T9" s="24" t="inlineStr"/>
    </row>
    <row r="10" ht="16" customHeight="1">
      <c r="A10" s="23">
        <f>IF(B10="","","CAM-"&amp;TEXT(2,"000"))</f>
        <v/>
      </c>
      <c r="B10" s="8" t="inlineStr"/>
      <c r="C10" s="25" t="inlineStr"/>
      <c r="D10" s="8" t="inlineStr"/>
      <c r="E10" s="25" t="inlineStr"/>
      <c r="F10" s="25" t="inlineStr"/>
      <c r="G10" s="26">
        <f>IF(F10="","",IF(F10="1.68mm (Fisheye)","360°",IF(F10="2.8mm","110°",IF(F10="4mm","90°",IF(F10="6mm","60°",IF(F10="8mm","40°",IF(F10="12mm","25°",IF(F10="16mm","18°","Variable"))))))))</f>
        <v/>
      </c>
      <c r="H10" s="8" t="inlineStr"/>
      <c r="I10" s="25" t="inlineStr"/>
      <c r="J10" s="8" t="inlineStr"/>
      <c r="K10" s="25" t="inlineStr"/>
      <c r="L10" s="25" t="inlineStr"/>
      <c r="M10" s="27">
        <f>IF(E10="","",IF(E10="2MP (1080p)",2,IF(E10="4MP (2.7K)",4,IF(E10="5MP",5,IF(E10="6MP",6,IF(E10="8MP (4K)",8,IF(E10="12MP",12,4)))))))</f>
        <v/>
      </c>
      <c r="N10" s="26">
        <f>IF(M10="","",ROUND(M10*3600*24/8/1000,2))</f>
        <v/>
      </c>
      <c r="O10" s="29" t="n">
        <v>31</v>
      </c>
      <c r="P10" s="25" t="inlineStr"/>
      <c r="Q10" s="25" t="inlineStr"/>
      <c r="R10" s="26">
        <f>IF(Q10="","",IF(Q10="Class 1 (4W)",4,IF(Q10="Class 2 (7W)",7,IF(Q10="Class 3 (15.4W)",15.4,IF(Q10="Class 4 (30W)",30,IF(Q10="Class 5 (45W)",45,IF(Q10="Class 6 (60W)",60,IF(Q10="Class 8 (90W)",90,0))))))))</f>
        <v/>
      </c>
      <c r="S10" s="8" t="inlineStr"/>
      <c r="T10" s="8" t="inlineStr"/>
    </row>
    <row r="11" ht="16" customHeight="1">
      <c r="A11" s="23">
        <f>IF(B11="","","CAM-"&amp;TEXT(3,"000"))</f>
        <v/>
      </c>
      <c r="B11" s="24" t="inlineStr"/>
      <c r="C11" s="25" t="inlineStr"/>
      <c r="D11" s="24" t="inlineStr"/>
      <c r="E11" s="25" t="inlineStr"/>
      <c r="F11" s="25" t="inlineStr"/>
      <c r="G11" s="26">
        <f>IF(F11="","",IF(F11="1.68mm (Fisheye)","360°",IF(F11="2.8mm","110°",IF(F11="4mm","90°",IF(F11="6mm","60°",IF(F11="8mm","40°",IF(F11="12mm","25°",IF(F11="16mm","18°","Variable"))))))))</f>
        <v/>
      </c>
      <c r="H11" s="24" t="inlineStr"/>
      <c r="I11" s="25" t="inlineStr"/>
      <c r="J11" s="24" t="inlineStr"/>
      <c r="K11" s="25" t="inlineStr"/>
      <c r="L11" s="25" t="inlineStr"/>
      <c r="M11" s="27">
        <f>IF(E11="","",IF(E11="2MP (1080p)",2,IF(E11="4MP (2.7K)",4,IF(E11="5MP",5,IF(E11="6MP",6,IF(E11="8MP (4K)",8,IF(E11="12MP",12,4)))))))</f>
        <v/>
      </c>
      <c r="N11" s="26">
        <f>IF(M11="","",ROUND(M11*3600*24/8/1000,2))</f>
        <v/>
      </c>
      <c r="O11" s="28" t="n">
        <v>31</v>
      </c>
      <c r="P11" s="25" t="inlineStr"/>
      <c r="Q11" s="25" t="inlineStr"/>
      <c r="R11" s="26">
        <f>IF(Q11="","",IF(Q11="Class 1 (4W)",4,IF(Q11="Class 2 (7W)",7,IF(Q11="Class 3 (15.4W)",15.4,IF(Q11="Class 4 (30W)",30,IF(Q11="Class 5 (45W)",45,IF(Q11="Class 6 (60W)",60,IF(Q11="Class 8 (90W)",90,0))))))))</f>
        <v/>
      </c>
      <c r="S11" s="24" t="inlineStr"/>
      <c r="T11" s="24" t="inlineStr"/>
    </row>
    <row r="12" ht="16" customHeight="1">
      <c r="A12" s="23">
        <f>IF(B12="","","CAM-"&amp;TEXT(4,"000"))</f>
        <v/>
      </c>
      <c r="B12" s="8" t="inlineStr"/>
      <c r="C12" s="25" t="inlineStr"/>
      <c r="D12" s="8" t="inlineStr"/>
      <c r="E12" s="25" t="inlineStr"/>
      <c r="F12" s="25" t="inlineStr"/>
      <c r="G12" s="26">
        <f>IF(F12="","",IF(F12="1.68mm (Fisheye)","360°",IF(F12="2.8mm","110°",IF(F12="4mm","90°",IF(F12="6mm","60°",IF(F12="8mm","40°",IF(F12="12mm","25°",IF(F12="16mm","18°","Variable"))))))))</f>
        <v/>
      </c>
      <c r="H12" s="8" t="inlineStr"/>
      <c r="I12" s="25" t="inlineStr"/>
      <c r="J12" s="8" t="inlineStr"/>
      <c r="K12" s="25" t="inlineStr"/>
      <c r="L12" s="25" t="inlineStr"/>
      <c r="M12" s="27">
        <f>IF(E12="","",IF(E12="2MP (1080p)",2,IF(E12="4MP (2.7K)",4,IF(E12="5MP",5,IF(E12="6MP",6,IF(E12="8MP (4K)",8,IF(E12="12MP",12,4)))))))</f>
        <v/>
      </c>
      <c r="N12" s="26">
        <f>IF(M12="","",ROUND(M12*3600*24/8/1000,2))</f>
        <v/>
      </c>
      <c r="O12" s="29" t="n">
        <v>31</v>
      </c>
      <c r="P12" s="25" t="inlineStr"/>
      <c r="Q12" s="25" t="inlineStr"/>
      <c r="R12" s="26">
        <f>IF(Q12="","",IF(Q12="Class 1 (4W)",4,IF(Q12="Class 2 (7W)",7,IF(Q12="Class 3 (15.4W)",15.4,IF(Q12="Class 4 (30W)",30,IF(Q12="Class 5 (45W)",45,IF(Q12="Class 6 (60W)",60,IF(Q12="Class 8 (90W)",90,0))))))))</f>
        <v/>
      </c>
      <c r="S12" s="8" t="inlineStr"/>
      <c r="T12" s="8" t="inlineStr"/>
    </row>
    <row r="13" ht="16" customHeight="1">
      <c r="A13" s="23">
        <f>IF(B13="","","CAM-"&amp;TEXT(5,"000"))</f>
        <v/>
      </c>
      <c r="B13" s="24" t="inlineStr"/>
      <c r="C13" s="25" t="inlineStr"/>
      <c r="D13" s="24" t="inlineStr"/>
      <c r="E13" s="25" t="inlineStr"/>
      <c r="F13" s="25" t="inlineStr"/>
      <c r="G13" s="26">
        <f>IF(F13="","",IF(F13="1.68mm (Fisheye)","360°",IF(F13="2.8mm","110°",IF(F13="4mm","90°",IF(F13="6mm","60°",IF(F13="8mm","40°",IF(F13="12mm","25°",IF(F13="16mm","18°","Variable"))))))))</f>
        <v/>
      </c>
      <c r="H13" s="24" t="inlineStr"/>
      <c r="I13" s="25" t="inlineStr"/>
      <c r="J13" s="24" t="inlineStr"/>
      <c r="K13" s="25" t="inlineStr"/>
      <c r="L13" s="25" t="inlineStr"/>
      <c r="M13" s="27">
        <f>IF(E13="","",IF(E13="2MP (1080p)",2,IF(E13="4MP (2.7K)",4,IF(E13="5MP",5,IF(E13="6MP",6,IF(E13="8MP (4K)",8,IF(E13="12MP",12,4)))))))</f>
        <v/>
      </c>
      <c r="N13" s="26">
        <f>IF(M13="","",ROUND(M13*3600*24/8/1000,2))</f>
        <v/>
      </c>
      <c r="O13" s="28" t="n">
        <v>31</v>
      </c>
      <c r="P13" s="25" t="inlineStr"/>
      <c r="Q13" s="25" t="inlineStr"/>
      <c r="R13" s="26">
        <f>IF(Q13="","",IF(Q13="Class 1 (4W)",4,IF(Q13="Class 2 (7W)",7,IF(Q13="Class 3 (15.4W)",15.4,IF(Q13="Class 4 (30W)",30,IF(Q13="Class 5 (45W)",45,IF(Q13="Class 6 (60W)",60,IF(Q13="Class 8 (90W)",90,0))))))))</f>
        <v/>
      </c>
      <c r="S13" s="24" t="inlineStr"/>
      <c r="T13" s="24" t="inlineStr"/>
    </row>
    <row r="14" ht="16" customHeight="1">
      <c r="A14" s="23">
        <f>IF(B14="","","CAM-"&amp;TEXT(6,"000"))</f>
        <v/>
      </c>
      <c r="B14" s="8" t="inlineStr"/>
      <c r="C14" s="25" t="inlineStr"/>
      <c r="D14" s="8" t="inlineStr"/>
      <c r="E14" s="25" t="inlineStr"/>
      <c r="F14" s="25" t="inlineStr"/>
      <c r="G14" s="26">
        <f>IF(F14="","",IF(F14="1.68mm (Fisheye)","360°",IF(F14="2.8mm","110°",IF(F14="4mm","90°",IF(F14="6mm","60°",IF(F14="8mm","40°",IF(F14="12mm","25°",IF(F14="16mm","18°","Variable"))))))))</f>
        <v/>
      </c>
      <c r="H14" s="8" t="inlineStr"/>
      <c r="I14" s="25" t="inlineStr"/>
      <c r="J14" s="8" t="inlineStr"/>
      <c r="K14" s="25" t="inlineStr"/>
      <c r="L14" s="25" t="inlineStr"/>
      <c r="M14" s="27">
        <f>IF(E14="","",IF(E14="2MP (1080p)",2,IF(E14="4MP (2.7K)",4,IF(E14="5MP",5,IF(E14="6MP",6,IF(E14="8MP (4K)",8,IF(E14="12MP",12,4)))))))</f>
        <v/>
      </c>
      <c r="N14" s="26">
        <f>IF(M14="","",ROUND(M14*3600*24/8/1000,2))</f>
        <v/>
      </c>
      <c r="O14" s="29" t="n">
        <v>31</v>
      </c>
      <c r="P14" s="25" t="inlineStr"/>
      <c r="Q14" s="25" t="inlineStr"/>
      <c r="R14" s="26">
        <f>IF(Q14="","",IF(Q14="Class 1 (4W)",4,IF(Q14="Class 2 (7W)",7,IF(Q14="Class 3 (15.4W)",15.4,IF(Q14="Class 4 (30W)",30,IF(Q14="Class 5 (45W)",45,IF(Q14="Class 6 (60W)",60,IF(Q14="Class 8 (90W)",90,0))))))))</f>
        <v/>
      </c>
      <c r="S14" s="8" t="inlineStr"/>
      <c r="T14" s="8" t="inlineStr"/>
    </row>
    <row r="15" ht="16" customHeight="1">
      <c r="A15" s="23">
        <f>IF(B15="","","CAM-"&amp;TEXT(7,"000"))</f>
        <v/>
      </c>
      <c r="B15" s="24" t="inlineStr"/>
      <c r="C15" s="25" t="inlineStr"/>
      <c r="D15" s="24" t="inlineStr"/>
      <c r="E15" s="25" t="inlineStr"/>
      <c r="F15" s="25" t="inlineStr"/>
      <c r="G15" s="26">
        <f>IF(F15="","",IF(F15="1.68mm (Fisheye)","360°",IF(F15="2.8mm","110°",IF(F15="4mm","90°",IF(F15="6mm","60°",IF(F15="8mm","40°",IF(F15="12mm","25°",IF(F15="16mm","18°","Variable"))))))))</f>
        <v/>
      </c>
      <c r="H15" s="24" t="inlineStr"/>
      <c r="I15" s="25" t="inlineStr"/>
      <c r="J15" s="24" t="inlineStr"/>
      <c r="K15" s="25" t="inlineStr"/>
      <c r="L15" s="25" t="inlineStr"/>
      <c r="M15" s="27">
        <f>IF(E15="","",IF(E15="2MP (1080p)",2,IF(E15="4MP (2.7K)",4,IF(E15="5MP",5,IF(E15="6MP",6,IF(E15="8MP (4K)",8,IF(E15="12MP",12,4)))))))</f>
        <v/>
      </c>
      <c r="N15" s="26">
        <f>IF(M15="","",ROUND(M15*3600*24/8/1000,2))</f>
        <v/>
      </c>
      <c r="O15" s="28" t="n">
        <v>31</v>
      </c>
      <c r="P15" s="25" t="inlineStr"/>
      <c r="Q15" s="25" t="inlineStr"/>
      <c r="R15" s="26">
        <f>IF(Q15="","",IF(Q15="Class 1 (4W)",4,IF(Q15="Class 2 (7W)",7,IF(Q15="Class 3 (15.4W)",15.4,IF(Q15="Class 4 (30W)",30,IF(Q15="Class 5 (45W)",45,IF(Q15="Class 6 (60W)",60,IF(Q15="Class 8 (90W)",90,0))))))))</f>
        <v/>
      </c>
      <c r="S15" s="24" t="inlineStr"/>
      <c r="T15" s="24" t="inlineStr"/>
    </row>
    <row r="16" ht="16" customHeight="1">
      <c r="A16" s="23">
        <f>IF(B16="","","CAM-"&amp;TEXT(8,"000"))</f>
        <v/>
      </c>
      <c r="B16" s="8" t="inlineStr"/>
      <c r="C16" s="25" t="inlineStr"/>
      <c r="D16" s="8" t="inlineStr"/>
      <c r="E16" s="25" t="inlineStr"/>
      <c r="F16" s="25" t="inlineStr"/>
      <c r="G16" s="26">
        <f>IF(F16="","",IF(F16="1.68mm (Fisheye)","360°",IF(F16="2.8mm","110°",IF(F16="4mm","90°",IF(F16="6mm","60°",IF(F16="8mm","40°",IF(F16="12mm","25°",IF(F16="16mm","18°","Variable"))))))))</f>
        <v/>
      </c>
      <c r="H16" s="8" t="inlineStr"/>
      <c r="I16" s="25" t="inlineStr"/>
      <c r="J16" s="8" t="inlineStr"/>
      <c r="K16" s="25" t="inlineStr"/>
      <c r="L16" s="25" t="inlineStr"/>
      <c r="M16" s="27">
        <f>IF(E16="","",IF(E16="2MP (1080p)",2,IF(E16="4MP (2.7K)",4,IF(E16="5MP",5,IF(E16="6MP",6,IF(E16="8MP (4K)",8,IF(E16="12MP",12,4)))))))</f>
        <v/>
      </c>
      <c r="N16" s="26">
        <f>IF(M16="","",ROUND(M16*3600*24/8/1000,2))</f>
        <v/>
      </c>
      <c r="O16" s="29" t="n">
        <v>31</v>
      </c>
      <c r="P16" s="25" t="inlineStr"/>
      <c r="Q16" s="25" t="inlineStr"/>
      <c r="R16" s="26">
        <f>IF(Q16="","",IF(Q16="Class 1 (4W)",4,IF(Q16="Class 2 (7W)",7,IF(Q16="Class 3 (15.4W)",15.4,IF(Q16="Class 4 (30W)",30,IF(Q16="Class 5 (45W)",45,IF(Q16="Class 6 (60W)",60,IF(Q16="Class 8 (90W)",90,0))))))))</f>
        <v/>
      </c>
      <c r="S16" s="8" t="inlineStr"/>
      <c r="T16" s="8" t="inlineStr"/>
    </row>
    <row r="17" ht="16" customHeight="1">
      <c r="A17" s="23">
        <f>IF(B17="","","CAM-"&amp;TEXT(9,"000"))</f>
        <v/>
      </c>
      <c r="B17" s="24" t="inlineStr"/>
      <c r="C17" s="25" t="inlineStr"/>
      <c r="D17" s="24" t="inlineStr"/>
      <c r="E17" s="25" t="inlineStr"/>
      <c r="F17" s="25" t="inlineStr"/>
      <c r="G17" s="26">
        <f>IF(F17="","",IF(F17="1.68mm (Fisheye)","360°",IF(F17="2.8mm","110°",IF(F17="4mm","90°",IF(F17="6mm","60°",IF(F17="8mm","40°",IF(F17="12mm","25°",IF(F17="16mm","18°","Variable"))))))))</f>
        <v/>
      </c>
      <c r="H17" s="24" t="inlineStr"/>
      <c r="I17" s="25" t="inlineStr"/>
      <c r="J17" s="24" t="inlineStr"/>
      <c r="K17" s="25" t="inlineStr"/>
      <c r="L17" s="25" t="inlineStr"/>
      <c r="M17" s="27">
        <f>IF(E17="","",IF(E17="2MP (1080p)",2,IF(E17="4MP (2.7K)",4,IF(E17="5MP",5,IF(E17="6MP",6,IF(E17="8MP (4K)",8,IF(E17="12MP",12,4)))))))</f>
        <v/>
      </c>
      <c r="N17" s="26">
        <f>IF(M17="","",ROUND(M17*3600*24/8/1000,2))</f>
        <v/>
      </c>
      <c r="O17" s="28" t="n">
        <v>31</v>
      </c>
      <c r="P17" s="25" t="inlineStr"/>
      <c r="Q17" s="25" t="inlineStr"/>
      <c r="R17" s="26">
        <f>IF(Q17="","",IF(Q17="Class 1 (4W)",4,IF(Q17="Class 2 (7W)",7,IF(Q17="Class 3 (15.4W)",15.4,IF(Q17="Class 4 (30W)",30,IF(Q17="Class 5 (45W)",45,IF(Q17="Class 6 (60W)",60,IF(Q17="Class 8 (90W)",90,0))))))))</f>
        <v/>
      </c>
      <c r="S17" s="24" t="inlineStr"/>
      <c r="T17" s="24" t="inlineStr"/>
    </row>
    <row r="18" ht="16" customHeight="1">
      <c r="A18" s="23">
        <f>IF(B18="","","CAM-"&amp;TEXT(10,"000"))</f>
        <v/>
      </c>
      <c r="B18" s="8" t="inlineStr"/>
      <c r="C18" s="25" t="inlineStr"/>
      <c r="D18" s="8" t="inlineStr"/>
      <c r="E18" s="25" t="inlineStr"/>
      <c r="F18" s="25" t="inlineStr"/>
      <c r="G18" s="26">
        <f>IF(F18="","",IF(F18="1.68mm (Fisheye)","360°",IF(F18="2.8mm","110°",IF(F18="4mm","90°",IF(F18="6mm","60°",IF(F18="8mm","40°",IF(F18="12mm","25°",IF(F18="16mm","18°","Variable"))))))))</f>
        <v/>
      </c>
      <c r="H18" s="8" t="inlineStr"/>
      <c r="I18" s="25" t="inlineStr"/>
      <c r="J18" s="8" t="inlineStr"/>
      <c r="K18" s="25" t="inlineStr"/>
      <c r="L18" s="25" t="inlineStr"/>
      <c r="M18" s="27">
        <f>IF(E18="","",IF(E18="2MP (1080p)",2,IF(E18="4MP (2.7K)",4,IF(E18="5MP",5,IF(E18="6MP",6,IF(E18="8MP (4K)",8,IF(E18="12MP",12,4)))))))</f>
        <v/>
      </c>
      <c r="N18" s="26">
        <f>IF(M18="","",ROUND(M18*3600*24/8/1000,2))</f>
        <v/>
      </c>
      <c r="O18" s="29" t="n">
        <v>31</v>
      </c>
      <c r="P18" s="25" t="inlineStr"/>
      <c r="Q18" s="25" t="inlineStr"/>
      <c r="R18" s="26">
        <f>IF(Q18="","",IF(Q18="Class 1 (4W)",4,IF(Q18="Class 2 (7W)",7,IF(Q18="Class 3 (15.4W)",15.4,IF(Q18="Class 4 (30W)",30,IF(Q18="Class 5 (45W)",45,IF(Q18="Class 6 (60W)",60,IF(Q18="Class 8 (90W)",90,0))))))))</f>
        <v/>
      </c>
      <c r="S18" s="8" t="inlineStr"/>
      <c r="T18" s="8" t="inlineStr"/>
    </row>
    <row r="19" ht="16" customHeight="1">
      <c r="A19" s="23">
        <f>IF(B19="","","CAM-"&amp;TEXT(11,"000"))</f>
        <v/>
      </c>
      <c r="B19" s="24" t="inlineStr"/>
      <c r="C19" s="25" t="inlineStr"/>
      <c r="D19" s="24" t="inlineStr"/>
      <c r="E19" s="25" t="inlineStr"/>
      <c r="F19" s="25" t="inlineStr"/>
      <c r="G19" s="26">
        <f>IF(F19="","",IF(F19="1.68mm (Fisheye)","360°",IF(F19="2.8mm","110°",IF(F19="4mm","90°",IF(F19="6mm","60°",IF(F19="8mm","40°",IF(F19="12mm","25°",IF(F19="16mm","18°","Variable"))))))))</f>
        <v/>
      </c>
      <c r="H19" s="24" t="inlineStr"/>
      <c r="I19" s="25" t="inlineStr"/>
      <c r="J19" s="24" t="inlineStr"/>
      <c r="K19" s="25" t="inlineStr"/>
      <c r="L19" s="25" t="inlineStr"/>
      <c r="M19" s="27">
        <f>IF(E19="","",IF(E19="2MP (1080p)",2,IF(E19="4MP (2.7K)",4,IF(E19="5MP",5,IF(E19="6MP",6,IF(E19="8MP (4K)",8,IF(E19="12MP",12,4)))))))</f>
        <v/>
      </c>
      <c r="N19" s="26">
        <f>IF(M19="","",ROUND(M19*3600*24/8/1000,2))</f>
        <v/>
      </c>
      <c r="O19" s="28" t="n">
        <v>31</v>
      </c>
      <c r="P19" s="25" t="inlineStr"/>
      <c r="Q19" s="25" t="inlineStr"/>
      <c r="R19" s="26">
        <f>IF(Q19="","",IF(Q19="Class 1 (4W)",4,IF(Q19="Class 2 (7W)",7,IF(Q19="Class 3 (15.4W)",15.4,IF(Q19="Class 4 (30W)",30,IF(Q19="Class 5 (45W)",45,IF(Q19="Class 6 (60W)",60,IF(Q19="Class 8 (90W)",90,0))))))))</f>
        <v/>
      </c>
      <c r="S19" s="24" t="inlineStr"/>
      <c r="T19" s="24" t="inlineStr"/>
    </row>
    <row r="20" ht="16" customHeight="1">
      <c r="A20" s="23">
        <f>IF(B20="","","CAM-"&amp;TEXT(12,"000"))</f>
        <v/>
      </c>
      <c r="B20" s="8" t="inlineStr"/>
      <c r="C20" s="25" t="inlineStr"/>
      <c r="D20" s="8" t="inlineStr"/>
      <c r="E20" s="25" t="inlineStr"/>
      <c r="F20" s="25" t="inlineStr"/>
      <c r="G20" s="26">
        <f>IF(F20="","",IF(F20="1.68mm (Fisheye)","360°",IF(F20="2.8mm","110°",IF(F20="4mm","90°",IF(F20="6mm","60°",IF(F20="8mm","40°",IF(F20="12mm","25°",IF(F20="16mm","18°","Variable"))))))))</f>
        <v/>
      </c>
      <c r="H20" s="8" t="inlineStr"/>
      <c r="I20" s="25" t="inlineStr"/>
      <c r="J20" s="8" t="inlineStr"/>
      <c r="K20" s="25" t="inlineStr"/>
      <c r="L20" s="25" t="inlineStr"/>
      <c r="M20" s="27">
        <f>IF(E20="","",IF(E20="2MP (1080p)",2,IF(E20="4MP (2.7K)",4,IF(E20="5MP",5,IF(E20="6MP",6,IF(E20="8MP (4K)",8,IF(E20="12MP",12,4)))))))</f>
        <v/>
      </c>
      <c r="N20" s="26">
        <f>IF(M20="","",ROUND(M20*3600*24/8/1000,2))</f>
        <v/>
      </c>
      <c r="O20" s="29" t="n">
        <v>31</v>
      </c>
      <c r="P20" s="25" t="inlineStr"/>
      <c r="Q20" s="25" t="inlineStr"/>
      <c r="R20" s="26">
        <f>IF(Q20="","",IF(Q20="Class 1 (4W)",4,IF(Q20="Class 2 (7W)",7,IF(Q20="Class 3 (15.4W)",15.4,IF(Q20="Class 4 (30W)",30,IF(Q20="Class 5 (45W)",45,IF(Q20="Class 6 (60W)",60,IF(Q20="Class 8 (90W)",90,0))))))))</f>
        <v/>
      </c>
      <c r="S20" s="8" t="inlineStr"/>
      <c r="T20" s="8" t="inlineStr"/>
    </row>
    <row r="21" ht="16" customHeight="1">
      <c r="A21" s="23">
        <f>IF(B21="","","CAM-"&amp;TEXT(13,"000"))</f>
        <v/>
      </c>
      <c r="B21" s="24" t="inlineStr"/>
      <c r="C21" s="25" t="inlineStr"/>
      <c r="D21" s="24" t="inlineStr"/>
      <c r="E21" s="25" t="inlineStr"/>
      <c r="F21" s="25" t="inlineStr"/>
      <c r="G21" s="26">
        <f>IF(F21="","",IF(F21="1.68mm (Fisheye)","360°",IF(F21="2.8mm","110°",IF(F21="4mm","90°",IF(F21="6mm","60°",IF(F21="8mm","40°",IF(F21="12mm","25°",IF(F21="16mm","18°","Variable"))))))))</f>
        <v/>
      </c>
      <c r="H21" s="24" t="inlineStr"/>
      <c r="I21" s="25" t="inlineStr"/>
      <c r="J21" s="24" t="inlineStr"/>
      <c r="K21" s="25" t="inlineStr"/>
      <c r="L21" s="25" t="inlineStr"/>
      <c r="M21" s="27">
        <f>IF(E21="","",IF(E21="2MP (1080p)",2,IF(E21="4MP (2.7K)",4,IF(E21="5MP",5,IF(E21="6MP",6,IF(E21="8MP (4K)",8,IF(E21="12MP",12,4)))))))</f>
        <v/>
      </c>
      <c r="N21" s="26">
        <f>IF(M21="","",ROUND(M21*3600*24/8/1000,2))</f>
        <v/>
      </c>
      <c r="O21" s="28" t="n">
        <v>31</v>
      </c>
      <c r="P21" s="25" t="inlineStr"/>
      <c r="Q21" s="25" t="inlineStr"/>
      <c r="R21" s="26">
        <f>IF(Q21="","",IF(Q21="Class 1 (4W)",4,IF(Q21="Class 2 (7W)",7,IF(Q21="Class 3 (15.4W)",15.4,IF(Q21="Class 4 (30W)",30,IF(Q21="Class 5 (45W)",45,IF(Q21="Class 6 (60W)",60,IF(Q21="Class 8 (90W)",90,0))))))))</f>
        <v/>
      </c>
      <c r="S21" s="24" t="inlineStr"/>
      <c r="T21" s="24" t="inlineStr"/>
    </row>
    <row r="22" ht="16" customHeight="1">
      <c r="A22" s="23">
        <f>IF(B22="","","CAM-"&amp;TEXT(14,"000"))</f>
        <v/>
      </c>
      <c r="B22" s="8" t="inlineStr"/>
      <c r="C22" s="25" t="inlineStr"/>
      <c r="D22" s="8" t="inlineStr"/>
      <c r="E22" s="25" t="inlineStr"/>
      <c r="F22" s="25" t="inlineStr"/>
      <c r="G22" s="26">
        <f>IF(F22="","",IF(F22="1.68mm (Fisheye)","360°",IF(F22="2.8mm","110°",IF(F22="4mm","90°",IF(F22="6mm","60°",IF(F22="8mm","40°",IF(F22="12mm","25°",IF(F22="16mm","18°","Variable"))))))))</f>
        <v/>
      </c>
      <c r="H22" s="8" t="inlineStr"/>
      <c r="I22" s="25" t="inlineStr"/>
      <c r="J22" s="8" t="inlineStr"/>
      <c r="K22" s="25" t="inlineStr"/>
      <c r="L22" s="25" t="inlineStr"/>
      <c r="M22" s="27">
        <f>IF(E22="","",IF(E22="2MP (1080p)",2,IF(E22="4MP (2.7K)",4,IF(E22="5MP",5,IF(E22="6MP",6,IF(E22="8MP (4K)",8,IF(E22="12MP",12,4)))))))</f>
        <v/>
      </c>
      <c r="N22" s="26">
        <f>IF(M22="","",ROUND(M22*3600*24/8/1000,2))</f>
        <v/>
      </c>
      <c r="O22" s="29" t="n">
        <v>31</v>
      </c>
      <c r="P22" s="25" t="inlineStr"/>
      <c r="Q22" s="25" t="inlineStr"/>
      <c r="R22" s="26">
        <f>IF(Q22="","",IF(Q22="Class 1 (4W)",4,IF(Q22="Class 2 (7W)",7,IF(Q22="Class 3 (15.4W)",15.4,IF(Q22="Class 4 (30W)",30,IF(Q22="Class 5 (45W)",45,IF(Q22="Class 6 (60W)",60,IF(Q22="Class 8 (90W)",90,0))))))))</f>
        <v/>
      </c>
      <c r="S22" s="8" t="inlineStr"/>
      <c r="T22" s="8" t="inlineStr"/>
    </row>
    <row r="23" ht="16" customHeight="1">
      <c r="A23" s="23">
        <f>IF(B23="","","CAM-"&amp;TEXT(15,"000"))</f>
        <v/>
      </c>
      <c r="B23" s="24" t="inlineStr"/>
      <c r="C23" s="25" t="inlineStr"/>
      <c r="D23" s="24" t="inlineStr"/>
      <c r="E23" s="25" t="inlineStr"/>
      <c r="F23" s="25" t="inlineStr"/>
      <c r="G23" s="26">
        <f>IF(F23="","",IF(F23="1.68mm (Fisheye)","360°",IF(F23="2.8mm","110°",IF(F23="4mm","90°",IF(F23="6mm","60°",IF(F23="8mm","40°",IF(F23="12mm","25°",IF(F23="16mm","18°","Variable"))))))))</f>
        <v/>
      </c>
      <c r="H23" s="24" t="inlineStr"/>
      <c r="I23" s="25" t="inlineStr"/>
      <c r="J23" s="24" t="inlineStr"/>
      <c r="K23" s="25" t="inlineStr"/>
      <c r="L23" s="25" t="inlineStr"/>
      <c r="M23" s="27">
        <f>IF(E23="","",IF(E23="2MP (1080p)",2,IF(E23="4MP (2.7K)",4,IF(E23="5MP",5,IF(E23="6MP",6,IF(E23="8MP (4K)",8,IF(E23="12MP",12,4)))))))</f>
        <v/>
      </c>
      <c r="N23" s="26">
        <f>IF(M23="","",ROUND(M23*3600*24/8/1000,2))</f>
        <v/>
      </c>
      <c r="O23" s="28" t="n">
        <v>31</v>
      </c>
      <c r="P23" s="25" t="inlineStr"/>
      <c r="Q23" s="25" t="inlineStr"/>
      <c r="R23" s="26">
        <f>IF(Q23="","",IF(Q23="Class 1 (4W)",4,IF(Q23="Class 2 (7W)",7,IF(Q23="Class 3 (15.4W)",15.4,IF(Q23="Class 4 (30W)",30,IF(Q23="Class 5 (45W)",45,IF(Q23="Class 6 (60W)",60,IF(Q23="Class 8 (90W)",90,0))))))))</f>
        <v/>
      </c>
      <c r="S23" s="24" t="inlineStr"/>
      <c r="T23" s="24" t="inlineStr"/>
    </row>
    <row r="24" ht="16" customHeight="1">
      <c r="A24" s="23">
        <f>IF(B24="","","CAM-"&amp;TEXT(16,"000"))</f>
        <v/>
      </c>
      <c r="B24" s="8" t="inlineStr"/>
      <c r="C24" s="25" t="inlineStr"/>
      <c r="D24" s="8" t="inlineStr"/>
      <c r="E24" s="25" t="inlineStr"/>
      <c r="F24" s="25" t="inlineStr"/>
      <c r="G24" s="26">
        <f>IF(F24="","",IF(F24="1.68mm (Fisheye)","360°",IF(F24="2.8mm","110°",IF(F24="4mm","90°",IF(F24="6mm","60°",IF(F24="8mm","40°",IF(F24="12mm","25°",IF(F24="16mm","18°","Variable"))))))))</f>
        <v/>
      </c>
      <c r="H24" s="8" t="inlineStr"/>
      <c r="I24" s="25" t="inlineStr"/>
      <c r="J24" s="8" t="inlineStr"/>
      <c r="K24" s="25" t="inlineStr"/>
      <c r="L24" s="25" t="inlineStr"/>
      <c r="M24" s="27">
        <f>IF(E24="","",IF(E24="2MP (1080p)",2,IF(E24="4MP (2.7K)",4,IF(E24="5MP",5,IF(E24="6MP",6,IF(E24="8MP (4K)",8,IF(E24="12MP",12,4)))))))</f>
        <v/>
      </c>
      <c r="N24" s="26">
        <f>IF(M24="","",ROUND(M24*3600*24/8/1000,2))</f>
        <v/>
      </c>
      <c r="O24" s="29" t="n">
        <v>31</v>
      </c>
      <c r="P24" s="25" t="inlineStr"/>
      <c r="Q24" s="25" t="inlineStr"/>
      <c r="R24" s="26">
        <f>IF(Q24="","",IF(Q24="Class 1 (4W)",4,IF(Q24="Class 2 (7W)",7,IF(Q24="Class 3 (15.4W)",15.4,IF(Q24="Class 4 (30W)",30,IF(Q24="Class 5 (45W)",45,IF(Q24="Class 6 (60W)",60,IF(Q24="Class 8 (90W)",90,0))))))))</f>
        <v/>
      </c>
      <c r="S24" s="8" t="inlineStr"/>
      <c r="T24" s="8" t="inlineStr"/>
    </row>
    <row r="25" ht="16" customHeight="1">
      <c r="A25" s="23">
        <f>IF(B25="","","CAM-"&amp;TEXT(17,"000"))</f>
        <v/>
      </c>
      <c r="B25" s="24" t="inlineStr"/>
      <c r="C25" s="25" t="inlineStr"/>
      <c r="D25" s="24" t="inlineStr"/>
      <c r="E25" s="25" t="inlineStr"/>
      <c r="F25" s="25" t="inlineStr"/>
      <c r="G25" s="26">
        <f>IF(F25="","",IF(F25="1.68mm (Fisheye)","360°",IF(F25="2.8mm","110°",IF(F25="4mm","90°",IF(F25="6mm","60°",IF(F25="8mm","40°",IF(F25="12mm","25°",IF(F25="16mm","18°","Variable"))))))))</f>
        <v/>
      </c>
      <c r="H25" s="24" t="inlineStr"/>
      <c r="I25" s="25" t="inlineStr"/>
      <c r="J25" s="24" t="inlineStr"/>
      <c r="K25" s="25" t="inlineStr"/>
      <c r="L25" s="25" t="inlineStr"/>
      <c r="M25" s="27">
        <f>IF(E25="","",IF(E25="2MP (1080p)",2,IF(E25="4MP (2.7K)",4,IF(E25="5MP",5,IF(E25="6MP",6,IF(E25="8MP (4K)",8,IF(E25="12MP",12,4)))))))</f>
        <v/>
      </c>
      <c r="N25" s="26">
        <f>IF(M25="","",ROUND(M25*3600*24/8/1000,2))</f>
        <v/>
      </c>
      <c r="O25" s="28" t="n">
        <v>31</v>
      </c>
      <c r="P25" s="25" t="inlineStr"/>
      <c r="Q25" s="25" t="inlineStr"/>
      <c r="R25" s="26">
        <f>IF(Q25="","",IF(Q25="Class 1 (4W)",4,IF(Q25="Class 2 (7W)",7,IF(Q25="Class 3 (15.4W)",15.4,IF(Q25="Class 4 (30W)",30,IF(Q25="Class 5 (45W)",45,IF(Q25="Class 6 (60W)",60,IF(Q25="Class 8 (90W)",90,0))))))))</f>
        <v/>
      </c>
      <c r="S25" s="24" t="inlineStr"/>
      <c r="T25" s="24" t="inlineStr"/>
    </row>
    <row r="26" ht="16" customHeight="1">
      <c r="A26" s="23">
        <f>IF(B26="","","CAM-"&amp;TEXT(18,"000"))</f>
        <v/>
      </c>
      <c r="B26" s="8" t="inlineStr"/>
      <c r="C26" s="25" t="inlineStr"/>
      <c r="D26" s="8" t="inlineStr"/>
      <c r="E26" s="25" t="inlineStr"/>
      <c r="F26" s="25" t="inlineStr"/>
      <c r="G26" s="26">
        <f>IF(F26="","",IF(F26="1.68mm (Fisheye)","360°",IF(F26="2.8mm","110°",IF(F26="4mm","90°",IF(F26="6mm","60°",IF(F26="8mm","40°",IF(F26="12mm","25°",IF(F26="16mm","18°","Variable"))))))))</f>
        <v/>
      </c>
      <c r="H26" s="8" t="inlineStr"/>
      <c r="I26" s="25" t="inlineStr"/>
      <c r="J26" s="8" t="inlineStr"/>
      <c r="K26" s="25" t="inlineStr"/>
      <c r="L26" s="25" t="inlineStr"/>
      <c r="M26" s="27">
        <f>IF(E26="","",IF(E26="2MP (1080p)",2,IF(E26="4MP (2.7K)",4,IF(E26="5MP",5,IF(E26="6MP",6,IF(E26="8MP (4K)",8,IF(E26="12MP",12,4)))))))</f>
        <v/>
      </c>
      <c r="N26" s="26">
        <f>IF(M26="","",ROUND(M26*3600*24/8/1000,2))</f>
        <v/>
      </c>
      <c r="O26" s="29" t="n">
        <v>31</v>
      </c>
      <c r="P26" s="25" t="inlineStr"/>
      <c r="Q26" s="25" t="inlineStr"/>
      <c r="R26" s="26">
        <f>IF(Q26="","",IF(Q26="Class 1 (4W)",4,IF(Q26="Class 2 (7W)",7,IF(Q26="Class 3 (15.4W)",15.4,IF(Q26="Class 4 (30W)",30,IF(Q26="Class 5 (45W)",45,IF(Q26="Class 6 (60W)",60,IF(Q26="Class 8 (90W)",90,0))))))))</f>
        <v/>
      </c>
      <c r="S26" s="8" t="inlineStr"/>
      <c r="T26" s="8" t="inlineStr"/>
    </row>
    <row r="27" ht="16" customHeight="1">
      <c r="A27" s="23">
        <f>IF(B27="","","CAM-"&amp;TEXT(19,"000"))</f>
        <v/>
      </c>
      <c r="B27" s="24" t="inlineStr"/>
      <c r="C27" s="25" t="inlineStr"/>
      <c r="D27" s="24" t="inlineStr"/>
      <c r="E27" s="25" t="inlineStr"/>
      <c r="F27" s="25" t="inlineStr"/>
      <c r="G27" s="26">
        <f>IF(F27="","",IF(F27="1.68mm (Fisheye)","360°",IF(F27="2.8mm","110°",IF(F27="4mm","90°",IF(F27="6mm","60°",IF(F27="8mm","40°",IF(F27="12mm","25°",IF(F27="16mm","18°","Variable"))))))))</f>
        <v/>
      </c>
      <c r="H27" s="24" t="inlineStr"/>
      <c r="I27" s="25" t="inlineStr"/>
      <c r="J27" s="24" t="inlineStr"/>
      <c r="K27" s="25" t="inlineStr"/>
      <c r="L27" s="25" t="inlineStr"/>
      <c r="M27" s="27">
        <f>IF(E27="","",IF(E27="2MP (1080p)",2,IF(E27="4MP (2.7K)",4,IF(E27="5MP",5,IF(E27="6MP",6,IF(E27="8MP (4K)",8,IF(E27="12MP",12,4)))))))</f>
        <v/>
      </c>
      <c r="N27" s="26">
        <f>IF(M27="","",ROUND(M27*3600*24/8/1000,2))</f>
        <v/>
      </c>
      <c r="O27" s="28" t="n">
        <v>31</v>
      </c>
      <c r="P27" s="25" t="inlineStr"/>
      <c r="Q27" s="25" t="inlineStr"/>
      <c r="R27" s="26">
        <f>IF(Q27="","",IF(Q27="Class 1 (4W)",4,IF(Q27="Class 2 (7W)",7,IF(Q27="Class 3 (15.4W)",15.4,IF(Q27="Class 4 (30W)",30,IF(Q27="Class 5 (45W)",45,IF(Q27="Class 6 (60W)",60,IF(Q27="Class 8 (90W)",90,0))))))))</f>
        <v/>
      </c>
      <c r="S27" s="24" t="inlineStr"/>
      <c r="T27" s="24" t="inlineStr"/>
    </row>
    <row r="28" ht="16" customHeight="1">
      <c r="A28" s="23">
        <f>IF(B28="","","CAM-"&amp;TEXT(20,"000"))</f>
        <v/>
      </c>
      <c r="B28" s="8" t="inlineStr"/>
      <c r="C28" s="25" t="inlineStr"/>
      <c r="D28" s="8" t="inlineStr"/>
      <c r="E28" s="25" t="inlineStr"/>
      <c r="F28" s="25" t="inlineStr"/>
      <c r="G28" s="26">
        <f>IF(F28="","",IF(F28="1.68mm (Fisheye)","360°",IF(F28="2.8mm","110°",IF(F28="4mm","90°",IF(F28="6mm","60°",IF(F28="8mm","40°",IF(F28="12mm","25°",IF(F28="16mm","18°","Variable"))))))))</f>
        <v/>
      </c>
      <c r="H28" s="8" t="inlineStr"/>
      <c r="I28" s="25" t="inlineStr"/>
      <c r="J28" s="8" t="inlineStr"/>
      <c r="K28" s="25" t="inlineStr"/>
      <c r="L28" s="25" t="inlineStr"/>
      <c r="M28" s="27">
        <f>IF(E28="","",IF(E28="2MP (1080p)",2,IF(E28="4MP (2.7K)",4,IF(E28="5MP",5,IF(E28="6MP",6,IF(E28="8MP (4K)",8,IF(E28="12MP",12,4)))))))</f>
        <v/>
      </c>
      <c r="N28" s="26">
        <f>IF(M28="","",ROUND(M28*3600*24/8/1000,2))</f>
        <v/>
      </c>
      <c r="O28" s="29" t="n">
        <v>31</v>
      </c>
      <c r="P28" s="25" t="inlineStr"/>
      <c r="Q28" s="25" t="inlineStr"/>
      <c r="R28" s="26">
        <f>IF(Q28="","",IF(Q28="Class 1 (4W)",4,IF(Q28="Class 2 (7W)",7,IF(Q28="Class 3 (15.4W)",15.4,IF(Q28="Class 4 (30W)",30,IF(Q28="Class 5 (45W)",45,IF(Q28="Class 6 (60W)",60,IF(Q28="Class 8 (90W)",90,0))))))))</f>
        <v/>
      </c>
      <c r="S28" s="8" t="inlineStr"/>
      <c r="T28" s="8" t="inlineStr"/>
    </row>
    <row r="29" ht="16" customHeight="1">
      <c r="A29" s="23">
        <f>IF(B29="","","CAM-"&amp;TEXT(21,"000"))</f>
        <v/>
      </c>
      <c r="B29" s="24" t="inlineStr"/>
      <c r="C29" s="25" t="inlineStr"/>
      <c r="D29" s="24" t="inlineStr"/>
      <c r="E29" s="25" t="inlineStr"/>
      <c r="F29" s="25" t="inlineStr"/>
      <c r="G29" s="26">
        <f>IF(F29="","",IF(F29="1.68mm (Fisheye)","360°",IF(F29="2.8mm","110°",IF(F29="4mm","90°",IF(F29="6mm","60°",IF(F29="8mm","40°",IF(F29="12mm","25°",IF(F29="16mm","18°","Variable"))))))))</f>
        <v/>
      </c>
      <c r="H29" s="24" t="inlineStr"/>
      <c r="I29" s="25" t="inlineStr"/>
      <c r="J29" s="24" t="inlineStr"/>
      <c r="K29" s="25" t="inlineStr"/>
      <c r="L29" s="25" t="inlineStr"/>
      <c r="M29" s="27">
        <f>IF(E29="","",IF(E29="2MP (1080p)",2,IF(E29="4MP (2.7K)",4,IF(E29="5MP",5,IF(E29="6MP",6,IF(E29="8MP (4K)",8,IF(E29="12MP",12,4)))))))</f>
        <v/>
      </c>
      <c r="N29" s="26">
        <f>IF(M29="","",ROUND(M29*3600*24/8/1000,2))</f>
        <v/>
      </c>
      <c r="O29" s="28" t="n">
        <v>31</v>
      </c>
      <c r="P29" s="25" t="inlineStr"/>
      <c r="Q29" s="25" t="inlineStr"/>
      <c r="R29" s="26">
        <f>IF(Q29="","",IF(Q29="Class 1 (4W)",4,IF(Q29="Class 2 (7W)",7,IF(Q29="Class 3 (15.4W)",15.4,IF(Q29="Class 4 (30W)",30,IF(Q29="Class 5 (45W)",45,IF(Q29="Class 6 (60W)",60,IF(Q29="Class 8 (90W)",90,0))))))))</f>
        <v/>
      </c>
      <c r="S29" s="24" t="inlineStr"/>
      <c r="T29" s="24" t="inlineStr"/>
    </row>
    <row r="30" ht="16" customHeight="1">
      <c r="A30" s="23">
        <f>IF(B30="","","CAM-"&amp;TEXT(22,"000"))</f>
        <v/>
      </c>
      <c r="B30" s="8" t="inlineStr"/>
      <c r="C30" s="25" t="inlineStr"/>
      <c r="D30" s="8" t="inlineStr"/>
      <c r="E30" s="25" t="inlineStr"/>
      <c r="F30" s="25" t="inlineStr"/>
      <c r="G30" s="26">
        <f>IF(F30="","",IF(F30="1.68mm (Fisheye)","360°",IF(F30="2.8mm","110°",IF(F30="4mm","90°",IF(F30="6mm","60°",IF(F30="8mm","40°",IF(F30="12mm","25°",IF(F30="16mm","18°","Variable"))))))))</f>
        <v/>
      </c>
      <c r="H30" s="8" t="inlineStr"/>
      <c r="I30" s="25" t="inlineStr"/>
      <c r="J30" s="8" t="inlineStr"/>
      <c r="K30" s="25" t="inlineStr"/>
      <c r="L30" s="25" t="inlineStr"/>
      <c r="M30" s="27">
        <f>IF(E30="","",IF(E30="2MP (1080p)",2,IF(E30="4MP (2.7K)",4,IF(E30="5MP",5,IF(E30="6MP",6,IF(E30="8MP (4K)",8,IF(E30="12MP",12,4)))))))</f>
        <v/>
      </c>
      <c r="N30" s="26">
        <f>IF(M30="","",ROUND(M30*3600*24/8/1000,2))</f>
        <v/>
      </c>
      <c r="O30" s="29" t="n">
        <v>31</v>
      </c>
      <c r="P30" s="25" t="inlineStr"/>
      <c r="Q30" s="25" t="inlineStr"/>
      <c r="R30" s="26">
        <f>IF(Q30="","",IF(Q30="Class 1 (4W)",4,IF(Q30="Class 2 (7W)",7,IF(Q30="Class 3 (15.4W)",15.4,IF(Q30="Class 4 (30W)",30,IF(Q30="Class 5 (45W)",45,IF(Q30="Class 6 (60W)",60,IF(Q30="Class 8 (90W)",90,0))))))))</f>
        <v/>
      </c>
      <c r="S30" s="8" t="inlineStr"/>
      <c r="T30" s="8" t="inlineStr"/>
    </row>
    <row r="31" ht="16" customHeight="1">
      <c r="A31" s="23">
        <f>IF(B31="","","CAM-"&amp;TEXT(23,"000"))</f>
        <v/>
      </c>
      <c r="B31" s="24" t="inlineStr"/>
      <c r="C31" s="25" t="inlineStr"/>
      <c r="D31" s="24" t="inlineStr"/>
      <c r="E31" s="25" t="inlineStr"/>
      <c r="F31" s="25" t="inlineStr"/>
      <c r="G31" s="26">
        <f>IF(F31="","",IF(F31="1.68mm (Fisheye)","360°",IF(F31="2.8mm","110°",IF(F31="4mm","90°",IF(F31="6mm","60°",IF(F31="8mm","40°",IF(F31="12mm","25°",IF(F31="16mm","18°","Variable"))))))))</f>
        <v/>
      </c>
      <c r="H31" s="24" t="inlineStr"/>
      <c r="I31" s="25" t="inlineStr"/>
      <c r="J31" s="24" t="inlineStr"/>
      <c r="K31" s="25" t="inlineStr"/>
      <c r="L31" s="25" t="inlineStr"/>
      <c r="M31" s="27">
        <f>IF(E31="","",IF(E31="2MP (1080p)",2,IF(E31="4MP (2.7K)",4,IF(E31="5MP",5,IF(E31="6MP",6,IF(E31="8MP (4K)",8,IF(E31="12MP",12,4)))))))</f>
        <v/>
      </c>
      <c r="N31" s="26">
        <f>IF(M31="","",ROUND(M31*3600*24/8/1000,2))</f>
        <v/>
      </c>
      <c r="O31" s="28" t="n">
        <v>31</v>
      </c>
      <c r="P31" s="25" t="inlineStr"/>
      <c r="Q31" s="25" t="inlineStr"/>
      <c r="R31" s="26">
        <f>IF(Q31="","",IF(Q31="Class 1 (4W)",4,IF(Q31="Class 2 (7W)",7,IF(Q31="Class 3 (15.4W)",15.4,IF(Q31="Class 4 (30W)",30,IF(Q31="Class 5 (45W)",45,IF(Q31="Class 6 (60W)",60,IF(Q31="Class 8 (90W)",90,0))))))))</f>
        <v/>
      </c>
      <c r="S31" s="24" t="inlineStr"/>
      <c r="T31" s="24" t="inlineStr"/>
    </row>
    <row r="32" ht="16" customHeight="1">
      <c r="A32" s="23">
        <f>IF(B32="","","CAM-"&amp;TEXT(24,"000"))</f>
        <v/>
      </c>
      <c r="B32" s="8" t="inlineStr"/>
      <c r="C32" s="25" t="inlineStr"/>
      <c r="D32" s="8" t="inlineStr"/>
      <c r="E32" s="25" t="inlineStr"/>
      <c r="F32" s="25" t="inlineStr"/>
      <c r="G32" s="26">
        <f>IF(F32="","",IF(F32="1.68mm (Fisheye)","360°",IF(F32="2.8mm","110°",IF(F32="4mm","90°",IF(F32="6mm","60°",IF(F32="8mm","40°",IF(F32="12mm","25°",IF(F32="16mm","18°","Variable"))))))))</f>
        <v/>
      </c>
      <c r="H32" s="8" t="inlineStr"/>
      <c r="I32" s="25" t="inlineStr"/>
      <c r="J32" s="8" t="inlineStr"/>
      <c r="K32" s="25" t="inlineStr"/>
      <c r="L32" s="25" t="inlineStr"/>
      <c r="M32" s="27">
        <f>IF(E32="","",IF(E32="2MP (1080p)",2,IF(E32="4MP (2.7K)",4,IF(E32="5MP",5,IF(E32="6MP",6,IF(E32="8MP (4K)",8,IF(E32="12MP",12,4)))))))</f>
        <v/>
      </c>
      <c r="N32" s="26">
        <f>IF(M32="","",ROUND(M32*3600*24/8/1000,2))</f>
        <v/>
      </c>
      <c r="O32" s="29" t="n">
        <v>31</v>
      </c>
      <c r="P32" s="25" t="inlineStr"/>
      <c r="Q32" s="25" t="inlineStr"/>
      <c r="R32" s="26">
        <f>IF(Q32="","",IF(Q32="Class 1 (4W)",4,IF(Q32="Class 2 (7W)",7,IF(Q32="Class 3 (15.4W)",15.4,IF(Q32="Class 4 (30W)",30,IF(Q32="Class 5 (45W)",45,IF(Q32="Class 6 (60W)",60,IF(Q32="Class 8 (90W)",90,0))))))))</f>
        <v/>
      </c>
      <c r="S32" s="8" t="inlineStr"/>
      <c r="T32" s="8" t="inlineStr"/>
    </row>
    <row r="33" ht="16" customHeight="1">
      <c r="A33" s="23">
        <f>IF(B33="","","CAM-"&amp;TEXT(25,"000"))</f>
        <v/>
      </c>
      <c r="B33" s="24" t="inlineStr"/>
      <c r="C33" s="25" t="inlineStr"/>
      <c r="D33" s="24" t="inlineStr"/>
      <c r="E33" s="25" t="inlineStr"/>
      <c r="F33" s="25" t="inlineStr"/>
      <c r="G33" s="26">
        <f>IF(F33="","",IF(F33="1.68mm (Fisheye)","360°",IF(F33="2.8mm","110°",IF(F33="4mm","90°",IF(F33="6mm","60°",IF(F33="8mm","40°",IF(F33="12mm","25°",IF(F33="16mm","18°","Variable"))))))))</f>
        <v/>
      </c>
      <c r="H33" s="24" t="inlineStr"/>
      <c r="I33" s="25" t="inlineStr"/>
      <c r="J33" s="24" t="inlineStr"/>
      <c r="K33" s="25" t="inlineStr"/>
      <c r="L33" s="25" t="inlineStr"/>
      <c r="M33" s="27">
        <f>IF(E33="","",IF(E33="2MP (1080p)",2,IF(E33="4MP (2.7K)",4,IF(E33="5MP",5,IF(E33="6MP",6,IF(E33="8MP (4K)",8,IF(E33="12MP",12,4)))))))</f>
        <v/>
      </c>
      <c r="N33" s="26">
        <f>IF(M33="","",ROUND(M33*3600*24/8/1000,2))</f>
        <v/>
      </c>
      <c r="O33" s="28" t="n">
        <v>31</v>
      </c>
      <c r="P33" s="25" t="inlineStr"/>
      <c r="Q33" s="25" t="inlineStr"/>
      <c r="R33" s="26">
        <f>IF(Q33="","",IF(Q33="Class 1 (4W)",4,IF(Q33="Class 2 (7W)",7,IF(Q33="Class 3 (15.4W)",15.4,IF(Q33="Class 4 (30W)",30,IF(Q33="Class 5 (45W)",45,IF(Q33="Class 6 (60W)",60,IF(Q33="Class 8 (90W)",90,0))))))))</f>
        <v/>
      </c>
      <c r="S33" s="24" t="inlineStr"/>
      <c r="T33" s="24" t="inlineStr"/>
    </row>
    <row r="34" ht="16" customHeight="1">
      <c r="A34" s="23">
        <f>IF(B34="","","CAM-"&amp;TEXT(26,"000"))</f>
        <v/>
      </c>
      <c r="B34" s="8" t="inlineStr"/>
      <c r="C34" s="25" t="inlineStr"/>
      <c r="D34" s="8" t="inlineStr"/>
      <c r="E34" s="25" t="inlineStr"/>
      <c r="F34" s="25" t="inlineStr"/>
      <c r="G34" s="26">
        <f>IF(F34="","",IF(F34="1.68mm (Fisheye)","360°",IF(F34="2.8mm","110°",IF(F34="4mm","90°",IF(F34="6mm","60°",IF(F34="8mm","40°",IF(F34="12mm","25°",IF(F34="16mm","18°","Variable"))))))))</f>
        <v/>
      </c>
      <c r="H34" s="8" t="inlineStr"/>
      <c r="I34" s="25" t="inlineStr"/>
      <c r="J34" s="8" t="inlineStr"/>
      <c r="K34" s="25" t="inlineStr"/>
      <c r="L34" s="25" t="inlineStr"/>
      <c r="M34" s="27">
        <f>IF(E34="","",IF(E34="2MP (1080p)",2,IF(E34="4MP (2.7K)",4,IF(E34="5MP",5,IF(E34="6MP",6,IF(E34="8MP (4K)",8,IF(E34="12MP",12,4)))))))</f>
        <v/>
      </c>
      <c r="N34" s="26">
        <f>IF(M34="","",ROUND(M34*3600*24/8/1000,2))</f>
        <v/>
      </c>
      <c r="O34" s="29" t="n">
        <v>31</v>
      </c>
      <c r="P34" s="25" t="inlineStr"/>
      <c r="Q34" s="25" t="inlineStr"/>
      <c r="R34" s="26">
        <f>IF(Q34="","",IF(Q34="Class 1 (4W)",4,IF(Q34="Class 2 (7W)",7,IF(Q34="Class 3 (15.4W)",15.4,IF(Q34="Class 4 (30W)",30,IF(Q34="Class 5 (45W)",45,IF(Q34="Class 6 (60W)",60,IF(Q34="Class 8 (90W)",90,0))))))))</f>
        <v/>
      </c>
      <c r="S34" s="8" t="inlineStr"/>
      <c r="T34" s="8" t="inlineStr"/>
    </row>
    <row r="35" ht="16" customHeight="1">
      <c r="A35" s="23">
        <f>IF(B35="","","CAM-"&amp;TEXT(27,"000"))</f>
        <v/>
      </c>
      <c r="B35" s="24" t="inlineStr"/>
      <c r="C35" s="25" t="inlineStr"/>
      <c r="D35" s="24" t="inlineStr"/>
      <c r="E35" s="25" t="inlineStr"/>
      <c r="F35" s="25" t="inlineStr"/>
      <c r="G35" s="26">
        <f>IF(F35="","",IF(F35="1.68mm (Fisheye)","360°",IF(F35="2.8mm","110°",IF(F35="4mm","90°",IF(F35="6mm","60°",IF(F35="8mm","40°",IF(F35="12mm","25°",IF(F35="16mm","18°","Variable"))))))))</f>
        <v/>
      </c>
      <c r="H35" s="24" t="inlineStr"/>
      <c r="I35" s="25" t="inlineStr"/>
      <c r="J35" s="24" t="inlineStr"/>
      <c r="K35" s="25" t="inlineStr"/>
      <c r="L35" s="25" t="inlineStr"/>
      <c r="M35" s="27">
        <f>IF(E35="","",IF(E35="2MP (1080p)",2,IF(E35="4MP (2.7K)",4,IF(E35="5MP",5,IF(E35="6MP",6,IF(E35="8MP (4K)",8,IF(E35="12MP",12,4)))))))</f>
        <v/>
      </c>
      <c r="N35" s="26">
        <f>IF(M35="","",ROUND(M35*3600*24/8/1000,2))</f>
        <v/>
      </c>
      <c r="O35" s="28" t="n">
        <v>31</v>
      </c>
      <c r="P35" s="25" t="inlineStr"/>
      <c r="Q35" s="25" t="inlineStr"/>
      <c r="R35" s="26">
        <f>IF(Q35="","",IF(Q35="Class 1 (4W)",4,IF(Q35="Class 2 (7W)",7,IF(Q35="Class 3 (15.4W)",15.4,IF(Q35="Class 4 (30W)",30,IF(Q35="Class 5 (45W)",45,IF(Q35="Class 6 (60W)",60,IF(Q35="Class 8 (90W)",90,0))))))))</f>
        <v/>
      </c>
      <c r="S35" s="24" t="inlineStr"/>
      <c r="T35" s="24" t="inlineStr"/>
    </row>
    <row r="36" ht="16" customHeight="1">
      <c r="A36" s="23">
        <f>IF(B36="","","CAM-"&amp;TEXT(28,"000"))</f>
        <v/>
      </c>
      <c r="B36" s="8" t="inlineStr"/>
      <c r="C36" s="25" t="inlineStr"/>
      <c r="D36" s="8" t="inlineStr"/>
      <c r="E36" s="25" t="inlineStr"/>
      <c r="F36" s="25" t="inlineStr"/>
      <c r="G36" s="26">
        <f>IF(F36="","",IF(F36="1.68mm (Fisheye)","360°",IF(F36="2.8mm","110°",IF(F36="4mm","90°",IF(F36="6mm","60°",IF(F36="8mm","40°",IF(F36="12mm","25°",IF(F36="16mm","18°","Variable"))))))))</f>
        <v/>
      </c>
      <c r="H36" s="8" t="inlineStr"/>
      <c r="I36" s="25" t="inlineStr"/>
      <c r="J36" s="8" t="inlineStr"/>
      <c r="K36" s="25" t="inlineStr"/>
      <c r="L36" s="25" t="inlineStr"/>
      <c r="M36" s="27">
        <f>IF(E36="","",IF(E36="2MP (1080p)",2,IF(E36="4MP (2.7K)",4,IF(E36="5MP",5,IF(E36="6MP",6,IF(E36="8MP (4K)",8,IF(E36="12MP",12,4)))))))</f>
        <v/>
      </c>
      <c r="N36" s="26">
        <f>IF(M36="","",ROUND(M36*3600*24/8/1000,2))</f>
        <v/>
      </c>
      <c r="O36" s="29" t="n">
        <v>31</v>
      </c>
      <c r="P36" s="25" t="inlineStr"/>
      <c r="Q36" s="25" t="inlineStr"/>
      <c r="R36" s="26">
        <f>IF(Q36="","",IF(Q36="Class 1 (4W)",4,IF(Q36="Class 2 (7W)",7,IF(Q36="Class 3 (15.4W)",15.4,IF(Q36="Class 4 (30W)",30,IF(Q36="Class 5 (45W)",45,IF(Q36="Class 6 (60W)",60,IF(Q36="Class 8 (90W)",90,0))))))))</f>
        <v/>
      </c>
      <c r="S36" s="8" t="inlineStr"/>
      <c r="T36" s="8" t="inlineStr"/>
    </row>
    <row r="37" ht="16" customHeight="1">
      <c r="A37" s="23">
        <f>IF(B37="","","CAM-"&amp;TEXT(29,"000"))</f>
        <v/>
      </c>
      <c r="B37" s="24" t="inlineStr"/>
      <c r="C37" s="25" t="inlineStr"/>
      <c r="D37" s="24" t="inlineStr"/>
      <c r="E37" s="25" t="inlineStr"/>
      <c r="F37" s="25" t="inlineStr"/>
      <c r="G37" s="26">
        <f>IF(F37="","",IF(F37="1.68mm (Fisheye)","360°",IF(F37="2.8mm","110°",IF(F37="4mm","90°",IF(F37="6mm","60°",IF(F37="8mm","40°",IF(F37="12mm","25°",IF(F37="16mm","18°","Variable"))))))))</f>
        <v/>
      </c>
      <c r="H37" s="24" t="inlineStr"/>
      <c r="I37" s="25" t="inlineStr"/>
      <c r="J37" s="24" t="inlineStr"/>
      <c r="K37" s="25" t="inlineStr"/>
      <c r="L37" s="25" t="inlineStr"/>
      <c r="M37" s="27">
        <f>IF(E37="","",IF(E37="2MP (1080p)",2,IF(E37="4MP (2.7K)",4,IF(E37="5MP",5,IF(E37="6MP",6,IF(E37="8MP (4K)",8,IF(E37="12MP",12,4)))))))</f>
        <v/>
      </c>
      <c r="N37" s="26">
        <f>IF(M37="","",ROUND(M37*3600*24/8/1000,2))</f>
        <v/>
      </c>
      <c r="O37" s="28" t="n">
        <v>31</v>
      </c>
      <c r="P37" s="25" t="inlineStr"/>
      <c r="Q37" s="25" t="inlineStr"/>
      <c r="R37" s="26">
        <f>IF(Q37="","",IF(Q37="Class 1 (4W)",4,IF(Q37="Class 2 (7W)",7,IF(Q37="Class 3 (15.4W)",15.4,IF(Q37="Class 4 (30W)",30,IF(Q37="Class 5 (45W)",45,IF(Q37="Class 6 (60W)",60,IF(Q37="Class 8 (90W)",90,0))))))))</f>
        <v/>
      </c>
      <c r="S37" s="24" t="inlineStr"/>
      <c r="T37" s="24" t="inlineStr"/>
    </row>
    <row r="38" ht="16" customHeight="1">
      <c r="A38" s="23">
        <f>IF(B38="","","CAM-"&amp;TEXT(30,"000"))</f>
        <v/>
      </c>
      <c r="B38" s="8" t="inlineStr"/>
      <c r="C38" s="25" t="inlineStr"/>
      <c r="D38" s="8" t="inlineStr"/>
      <c r="E38" s="25" t="inlineStr"/>
      <c r="F38" s="25" t="inlineStr"/>
      <c r="G38" s="26">
        <f>IF(F38="","",IF(F38="1.68mm (Fisheye)","360°",IF(F38="2.8mm","110°",IF(F38="4mm","90°",IF(F38="6mm","60°",IF(F38="8mm","40°",IF(F38="12mm","25°",IF(F38="16mm","18°","Variable"))))))))</f>
        <v/>
      </c>
      <c r="H38" s="8" t="inlineStr"/>
      <c r="I38" s="25" t="inlineStr"/>
      <c r="J38" s="8" t="inlineStr"/>
      <c r="K38" s="25" t="inlineStr"/>
      <c r="L38" s="25" t="inlineStr"/>
      <c r="M38" s="27">
        <f>IF(E38="","",IF(E38="2MP (1080p)",2,IF(E38="4MP (2.7K)",4,IF(E38="5MP",5,IF(E38="6MP",6,IF(E38="8MP (4K)",8,IF(E38="12MP",12,4)))))))</f>
        <v/>
      </c>
      <c r="N38" s="26">
        <f>IF(M38="","",ROUND(M38*3600*24/8/1000,2))</f>
        <v/>
      </c>
      <c r="O38" s="29" t="n">
        <v>31</v>
      </c>
      <c r="P38" s="25" t="inlineStr"/>
      <c r="Q38" s="25" t="inlineStr"/>
      <c r="R38" s="26">
        <f>IF(Q38="","",IF(Q38="Class 1 (4W)",4,IF(Q38="Class 2 (7W)",7,IF(Q38="Class 3 (15.4W)",15.4,IF(Q38="Class 4 (30W)",30,IF(Q38="Class 5 (45W)",45,IF(Q38="Class 6 (60W)",60,IF(Q38="Class 8 (90W)",90,0))))))))</f>
        <v/>
      </c>
      <c r="S38" s="8" t="inlineStr"/>
      <c r="T38" s="8" t="inlineStr"/>
    </row>
    <row r="39" ht="16" customHeight="1">
      <c r="A39" s="23">
        <f>IF(B39="","","CAM-"&amp;TEXT(31,"000"))</f>
        <v/>
      </c>
      <c r="B39" s="24" t="inlineStr"/>
      <c r="C39" s="25" t="inlineStr"/>
      <c r="D39" s="24" t="inlineStr"/>
      <c r="E39" s="25" t="inlineStr"/>
      <c r="F39" s="25" t="inlineStr"/>
      <c r="G39" s="26">
        <f>IF(F39="","",IF(F39="1.68mm (Fisheye)","360°",IF(F39="2.8mm","110°",IF(F39="4mm","90°",IF(F39="6mm","60°",IF(F39="8mm","40°",IF(F39="12mm","25°",IF(F39="16mm","18°","Variable"))))))))</f>
        <v/>
      </c>
      <c r="H39" s="24" t="inlineStr"/>
      <c r="I39" s="25" t="inlineStr"/>
      <c r="J39" s="24" t="inlineStr"/>
      <c r="K39" s="25" t="inlineStr"/>
      <c r="L39" s="25" t="inlineStr"/>
      <c r="M39" s="27">
        <f>IF(E39="","",IF(E39="2MP (1080p)",2,IF(E39="4MP (2.7K)",4,IF(E39="5MP",5,IF(E39="6MP",6,IF(E39="8MP (4K)",8,IF(E39="12MP",12,4)))))))</f>
        <v/>
      </c>
      <c r="N39" s="26">
        <f>IF(M39="","",ROUND(M39*3600*24/8/1000,2))</f>
        <v/>
      </c>
      <c r="O39" s="28" t="n">
        <v>31</v>
      </c>
      <c r="P39" s="25" t="inlineStr"/>
      <c r="Q39" s="25" t="inlineStr"/>
      <c r="R39" s="26">
        <f>IF(Q39="","",IF(Q39="Class 1 (4W)",4,IF(Q39="Class 2 (7W)",7,IF(Q39="Class 3 (15.4W)",15.4,IF(Q39="Class 4 (30W)",30,IF(Q39="Class 5 (45W)",45,IF(Q39="Class 6 (60W)",60,IF(Q39="Class 8 (90W)",90,0))))))))</f>
        <v/>
      </c>
      <c r="S39" s="24" t="inlineStr"/>
      <c r="T39" s="24" t="inlineStr"/>
    </row>
    <row r="40" ht="16" customHeight="1">
      <c r="A40" s="23">
        <f>IF(B40="","","CAM-"&amp;TEXT(32,"000"))</f>
        <v/>
      </c>
      <c r="B40" s="8" t="inlineStr"/>
      <c r="C40" s="25" t="inlineStr"/>
      <c r="D40" s="8" t="inlineStr"/>
      <c r="E40" s="25" t="inlineStr"/>
      <c r="F40" s="25" t="inlineStr"/>
      <c r="G40" s="26">
        <f>IF(F40="","",IF(F40="1.68mm (Fisheye)","360°",IF(F40="2.8mm","110°",IF(F40="4mm","90°",IF(F40="6mm","60°",IF(F40="8mm","40°",IF(F40="12mm","25°",IF(F40="16mm","18°","Variable"))))))))</f>
        <v/>
      </c>
      <c r="H40" s="8" t="inlineStr"/>
      <c r="I40" s="25" t="inlineStr"/>
      <c r="J40" s="8" t="inlineStr"/>
      <c r="K40" s="25" t="inlineStr"/>
      <c r="L40" s="25" t="inlineStr"/>
      <c r="M40" s="27">
        <f>IF(E40="","",IF(E40="2MP (1080p)",2,IF(E40="4MP (2.7K)",4,IF(E40="5MP",5,IF(E40="6MP",6,IF(E40="8MP (4K)",8,IF(E40="12MP",12,4)))))))</f>
        <v/>
      </c>
      <c r="N40" s="26">
        <f>IF(M40="","",ROUND(M40*3600*24/8/1000,2))</f>
        <v/>
      </c>
      <c r="O40" s="29" t="n">
        <v>31</v>
      </c>
      <c r="P40" s="25" t="inlineStr"/>
      <c r="Q40" s="25" t="inlineStr"/>
      <c r="R40" s="26">
        <f>IF(Q40="","",IF(Q40="Class 1 (4W)",4,IF(Q40="Class 2 (7W)",7,IF(Q40="Class 3 (15.4W)",15.4,IF(Q40="Class 4 (30W)",30,IF(Q40="Class 5 (45W)",45,IF(Q40="Class 6 (60W)",60,IF(Q40="Class 8 (90W)",90,0))))))))</f>
        <v/>
      </c>
      <c r="S40" s="8" t="inlineStr"/>
      <c r="T40" s="8" t="inlineStr"/>
    </row>
    <row r="41" ht="16" customHeight="1">
      <c r="A41" s="23">
        <f>IF(B41="","","CAM-"&amp;TEXT(33,"000"))</f>
        <v/>
      </c>
      <c r="B41" s="24" t="inlineStr"/>
      <c r="C41" s="25" t="inlineStr"/>
      <c r="D41" s="24" t="inlineStr"/>
      <c r="E41" s="25" t="inlineStr"/>
      <c r="F41" s="25" t="inlineStr"/>
      <c r="G41" s="26">
        <f>IF(F41="","",IF(F41="1.68mm (Fisheye)","360°",IF(F41="2.8mm","110°",IF(F41="4mm","90°",IF(F41="6mm","60°",IF(F41="8mm","40°",IF(F41="12mm","25°",IF(F41="16mm","18°","Variable"))))))))</f>
        <v/>
      </c>
      <c r="H41" s="24" t="inlineStr"/>
      <c r="I41" s="25" t="inlineStr"/>
      <c r="J41" s="24" t="inlineStr"/>
      <c r="K41" s="25" t="inlineStr"/>
      <c r="L41" s="25" t="inlineStr"/>
      <c r="M41" s="27">
        <f>IF(E41="","",IF(E41="2MP (1080p)",2,IF(E41="4MP (2.7K)",4,IF(E41="5MP",5,IF(E41="6MP",6,IF(E41="8MP (4K)",8,IF(E41="12MP",12,4)))))))</f>
        <v/>
      </c>
      <c r="N41" s="26">
        <f>IF(M41="","",ROUND(M41*3600*24/8/1000,2))</f>
        <v/>
      </c>
      <c r="O41" s="28" t="n">
        <v>31</v>
      </c>
      <c r="P41" s="25" t="inlineStr"/>
      <c r="Q41" s="25" t="inlineStr"/>
      <c r="R41" s="26">
        <f>IF(Q41="","",IF(Q41="Class 1 (4W)",4,IF(Q41="Class 2 (7W)",7,IF(Q41="Class 3 (15.4W)",15.4,IF(Q41="Class 4 (30W)",30,IF(Q41="Class 5 (45W)",45,IF(Q41="Class 6 (60W)",60,IF(Q41="Class 8 (90W)",90,0))))))))</f>
        <v/>
      </c>
      <c r="S41" s="24" t="inlineStr"/>
      <c r="T41" s="24" t="inlineStr"/>
    </row>
    <row r="42" ht="16" customHeight="1">
      <c r="A42" s="23">
        <f>IF(B42="","","CAM-"&amp;TEXT(34,"000"))</f>
        <v/>
      </c>
      <c r="B42" s="8" t="inlineStr"/>
      <c r="C42" s="25" t="inlineStr"/>
      <c r="D42" s="8" t="inlineStr"/>
      <c r="E42" s="25" t="inlineStr"/>
      <c r="F42" s="25" t="inlineStr"/>
      <c r="G42" s="26">
        <f>IF(F42="","",IF(F42="1.68mm (Fisheye)","360°",IF(F42="2.8mm","110°",IF(F42="4mm","90°",IF(F42="6mm","60°",IF(F42="8mm","40°",IF(F42="12mm","25°",IF(F42="16mm","18°","Variable"))))))))</f>
        <v/>
      </c>
      <c r="H42" s="8" t="inlineStr"/>
      <c r="I42" s="25" t="inlineStr"/>
      <c r="J42" s="8" t="inlineStr"/>
      <c r="K42" s="25" t="inlineStr"/>
      <c r="L42" s="25" t="inlineStr"/>
      <c r="M42" s="27">
        <f>IF(E42="","",IF(E42="2MP (1080p)",2,IF(E42="4MP (2.7K)",4,IF(E42="5MP",5,IF(E42="6MP",6,IF(E42="8MP (4K)",8,IF(E42="12MP",12,4)))))))</f>
        <v/>
      </c>
      <c r="N42" s="26">
        <f>IF(M42="","",ROUND(M42*3600*24/8/1000,2))</f>
        <v/>
      </c>
      <c r="O42" s="29" t="n">
        <v>31</v>
      </c>
      <c r="P42" s="25" t="inlineStr"/>
      <c r="Q42" s="25" t="inlineStr"/>
      <c r="R42" s="26">
        <f>IF(Q42="","",IF(Q42="Class 1 (4W)",4,IF(Q42="Class 2 (7W)",7,IF(Q42="Class 3 (15.4W)",15.4,IF(Q42="Class 4 (30W)",30,IF(Q42="Class 5 (45W)",45,IF(Q42="Class 6 (60W)",60,IF(Q42="Class 8 (90W)",90,0))))))))</f>
        <v/>
      </c>
      <c r="S42" s="8" t="inlineStr"/>
      <c r="T42" s="8" t="inlineStr"/>
    </row>
    <row r="43" ht="16" customHeight="1">
      <c r="A43" s="23">
        <f>IF(B43="","","CAM-"&amp;TEXT(35,"000"))</f>
        <v/>
      </c>
      <c r="B43" s="24" t="inlineStr"/>
      <c r="C43" s="25" t="inlineStr"/>
      <c r="D43" s="24" t="inlineStr"/>
      <c r="E43" s="25" t="inlineStr"/>
      <c r="F43" s="25" t="inlineStr"/>
      <c r="G43" s="26">
        <f>IF(F43="","",IF(F43="1.68mm (Fisheye)","360°",IF(F43="2.8mm","110°",IF(F43="4mm","90°",IF(F43="6mm","60°",IF(F43="8mm","40°",IF(F43="12mm","25°",IF(F43="16mm","18°","Variable"))))))))</f>
        <v/>
      </c>
      <c r="H43" s="24" t="inlineStr"/>
      <c r="I43" s="25" t="inlineStr"/>
      <c r="J43" s="24" t="inlineStr"/>
      <c r="K43" s="25" t="inlineStr"/>
      <c r="L43" s="25" t="inlineStr"/>
      <c r="M43" s="27">
        <f>IF(E43="","",IF(E43="2MP (1080p)",2,IF(E43="4MP (2.7K)",4,IF(E43="5MP",5,IF(E43="6MP",6,IF(E43="8MP (4K)",8,IF(E43="12MP",12,4)))))))</f>
        <v/>
      </c>
      <c r="N43" s="26">
        <f>IF(M43="","",ROUND(M43*3600*24/8/1000,2))</f>
        <v/>
      </c>
      <c r="O43" s="28" t="n">
        <v>31</v>
      </c>
      <c r="P43" s="25" t="inlineStr"/>
      <c r="Q43" s="25" t="inlineStr"/>
      <c r="R43" s="26">
        <f>IF(Q43="","",IF(Q43="Class 1 (4W)",4,IF(Q43="Class 2 (7W)",7,IF(Q43="Class 3 (15.4W)",15.4,IF(Q43="Class 4 (30W)",30,IF(Q43="Class 5 (45W)",45,IF(Q43="Class 6 (60W)",60,IF(Q43="Class 8 (90W)",90,0))))))))</f>
        <v/>
      </c>
      <c r="S43" s="24" t="inlineStr"/>
      <c r="T43" s="24" t="inlineStr"/>
    </row>
    <row r="44" ht="16" customHeight="1">
      <c r="A44" s="23">
        <f>IF(B44="","","CAM-"&amp;TEXT(36,"000"))</f>
        <v/>
      </c>
      <c r="B44" s="8" t="inlineStr"/>
      <c r="C44" s="25" t="inlineStr"/>
      <c r="D44" s="8" t="inlineStr"/>
      <c r="E44" s="25" t="inlineStr"/>
      <c r="F44" s="25" t="inlineStr"/>
      <c r="G44" s="26">
        <f>IF(F44="","",IF(F44="1.68mm (Fisheye)","360°",IF(F44="2.8mm","110°",IF(F44="4mm","90°",IF(F44="6mm","60°",IF(F44="8mm","40°",IF(F44="12mm","25°",IF(F44="16mm","18°","Variable"))))))))</f>
        <v/>
      </c>
      <c r="H44" s="8" t="inlineStr"/>
      <c r="I44" s="25" t="inlineStr"/>
      <c r="J44" s="8" t="inlineStr"/>
      <c r="K44" s="25" t="inlineStr"/>
      <c r="L44" s="25" t="inlineStr"/>
      <c r="M44" s="27">
        <f>IF(E44="","",IF(E44="2MP (1080p)",2,IF(E44="4MP (2.7K)",4,IF(E44="5MP",5,IF(E44="6MP",6,IF(E44="8MP (4K)",8,IF(E44="12MP",12,4)))))))</f>
        <v/>
      </c>
      <c r="N44" s="26">
        <f>IF(M44="","",ROUND(M44*3600*24/8/1000,2))</f>
        <v/>
      </c>
      <c r="O44" s="29" t="n">
        <v>31</v>
      </c>
      <c r="P44" s="25" t="inlineStr"/>
      <c r="Q44" s="25" t="inlineStr"/>
      <c r="R44" s="26">
        <f>IF(Q44="","",IF(Q44="Class 1 (4W)",4,IF(Q44="Class 2 (7W)",7,IF(Q44="Class 3 (15.4W)",15.4,IF(Q44="Class 4 (30W)",30,IF(Q44="Class 5 (45W)",45,IF(Q44="Class 6 (60W)",60,IF(Q44="Class 8 (90W)",90,0))))))))</f>
        <v/>
      </c>
      <c r="S44" s="8" t="inlineStr"/>
      <c r="T44" s="8" t="inlineStr"/>
    </row>
    <row r="45" ht="16" customHeight="1">
      <c r="A45" s="23">
        <f>IF(B45="","","CAM-"&amp;TEXT(37,"000"))</f>
        <v/>
      </c>
      <c r="B45" s="24" t="inlineStr"/>
      <c r="C45" s="25" t="inlineStr"/>
      <c r="D45" s="24" t="inlineStr"/>
      <c r="E45" s="25" t="inlineStr"/>
      <c r="F45" s="25" t="inlineStr"/>
      <c r="G45" s="26">
        <f>IF(F45="","",IF(F45="1.68mm (Fisheye)","360°",IF(F45="2.8mm","110°",IF(F45="4mm","90°",IF(F45="6mm","60°",IF(F45="8mm","40°",IF(F45="12mm","25°",IF(F45="16mm","18°","Variable"))))))))</f>
        <v/>
      </c>
      <c r="H45" s="24" t="inlineStr"/>
      <c r="I45" s="25" t="inlineStr"/>
      <c r="J45" s="24" t="inlineStr"/>
      <c r="K45" s="25" t="inlineStr"/>
      <c r="L45" s="25" t="inlineStr"/>
      <c r="M45" s="27">
        <f>IF(E45="","",IF(E45="2MP (1080p)",2,IF(E45="4MP (2.7K)",4,IF(E45="5MP",5,IF(E45="6MP",6,IF(E45="8MP (4K)",8,IF(E45="12MP",12,4)))))))</f>
        <v/>
      </c>
      <c r="N45" s="26">
        <f>IF(M45="","",ROUND(M45*3600*24/8/1000,2))</f>
        <v/>
      </c>
      <c r="O45" s="28" t="n">
        <v>31</v>
      </c>
      <c r="P45" s="25" t="inlineStr"/>
      <c r="Q45" s="25" t="inlineStr"/>
      <c r="R45" s="26">
        <f>IF(Q45="","",IF(Q45="Class 1 (4W)",4,IF(Q45="Class 2 (7W)",7,IF(Q45="Class 3 (15.4W)",15.4,IF(Q45="Class 4 (30W)",30,IF(Q45="Class 5 (45W)",45,IF(Q45="Class 6 (60W)",60,IF(Q45="Class 8 (90W)",90,0))))))))</f>
        <v/>
      </c>
      <c r="S45" s="24" t="inlineStr"/>
      <c r="T45" s="24" t="inlineStr"/>
    </row>
    <row r="46" ht="16" customHeight="1">
      <c r="A46" s="23">
        <f>IF(B46="","","CAM-"&amp;TEXT(38,"000"))</f>
        <v/>
      </c>
      <c r="B46" s="8" t="inlineStr"/>
      <c r="C46" s="25" t="inlineStr"/>
      <c r="D46" s="8" t="inlineStr"/>
      <c r="E46" s="25" t="inlineStr"/>
      <c r="F46" s="25" t="inlineStr"/>
      <c r="G46" s="26">
        <f>IF(F46="","",IF(F46="1.68mm (Fisheye)","360°",IF(F46="2.8mm","110°",IF(F46="4mm","90°",IF(F46="6mm","60°",IF(F46="8mm","40°",IF(F46="12mm","25°",IF(F46="16mm","18°","Variable"))))))))</f>
        <v/>
      </c>
      <c r="H46" s="8" t="inlineStr"/>
      <c r="I46" s="25" t="inlineStr"/>
      <c r="J46" s="8" t="inlineStr"/>
      <c r="K46" s="25" t="inlineStr"/>
      <c r="L46" s="25" t="inlineStr"/>
      <c r="M46" s="27">
        <f>IF(E46="","",IF(E46="2MP (1080p)",2,IF(E46="4MP (2.7K)",4,IF(E46="5MP",5,IF(E46="6MP",6,IF(E46="8MP (4K)",8,IF(E46="12MP",12,4)))))))</f>
        <v/>
      </c>
      <c r="N46" s="26">
        <f>IF(M46="","",ROUND(M46*3600*24/8/1000,2))</f>
        <v/>
      </c>
      <c r="O46" s="29" t="n">
        <v>31</v>
      </c>
      <c r="P46" s="25" t="inlineStr"/>
      <c r="Q46" s="25" t="inlineStr"/>
      <c r="R46" s="26">
        <f>IF(Q46="","",IF(Q46="Class 1 (4W)",4,IF(Q46="Class 2 (7W)",7,IF(Q46="Class 3 (15.4W)",15.4,IF(Q46="Class 4 (30W)",30,IF(Q46="Class 5 (45W)",45,IF(Q46="Class 6 (60W)",60,IF(Q46="Class 8 (90W)",90,0))))))))</f>
        <v/>
      </c>
      <c r="S46" s="8" t="inlineStr"/>
      <c r="T46" s="8" t="inlineStr"/>
    </row>
    <row r="47" ht="16" customHeight="1">
      <c r="A47" s="23">
        <f>IF(B47="","","CAM-"&amp;TEXT(39,"000"))</f>
        <v/>
      </c>
      <c r="B47" s="24" t="inlineStr"/>
      <c r="C47" s="25" t="inlineStr"/>
      <c r="D47" s="24" t="inlineStr"/>
      <c r="E47" s="25" t="inlineStr"/>
      <c r="F47" s="25" t="inlineStr"/>
      <c r="G47" s="26">
        <f>IF(F47="","",IF(F47="1.68mm (Fisheye)","360°",IF(F47="2.8mm","110°",IF(F47="4mm","90°",IF(F47="6mm","60°",IF(F47="8mm","40°",IF(F47="12mm","25°",IF(F47="16mm","18°","Variable"))))))))</f>
        <v/>
      </c>
      <c r="H47" s="24" t="inlineStr"/>
      <c r="I47" s="25" t="inlineStr"/>
      <c r="J47" s="24" t="inlineStr"/>
      <c r="K47" s="25" t="inlineStr"/>
      <c r="L47" s="25" t="inlineStr"/>
      <c r="M47" s="27">
        <f>IF(E47="","",IF(E47="2MP (1080p)",2,IF(E47="4MP (2.7K)",4,IF(E47="5MP",5,IF(E47="6MP",6,IF(E47="8MP (4K)",8,IF(E47="12MP",12,4)))))))</f>
        <v/>
      </c>
      <c r="N47" s="26">
        <f>IF(M47="","",ROUND(M47*3600*24/8/1000,2))</f>
        <v/>
      </c>
      <c r="O47" s="28" t="n">
        <v>31</v>
      </c>
      <c r="P47" s="25" t="inlineStr"/>
      <c r="Q47" s="25" t="inlineStr"/>
      <c r="R47" s="26">
        <f>IF(Q47="","",IF(Q47="Class 1 (4W)",4,IF(Q47="Class 2 (7W)",7,IF(Q47="Class 3 (15.4W)",15.4,IF(Q47="Class 4 (30W)",30,IF(Q47="Class 5 (45W)",45,IF(Q47="Class 6 (60W)",60,IF(Q47="Class 8 (90W)",90,0))))))))</f>
        <v/>
      </c>
      <c r="S47" s="24" t="inlineStr"/>
      <c r="T47" s="24" t="inlineStr"/>
    </row>
    <row r="48" ht="16" customHeight="1">
      <c r="A48" s="23">
        <f>IF(B48="","","CAM-"&amp;TEXT(40,"000"))</f>
        <v/>
      </c>
      <c r="B48" s="8" t="inlineStr"/>
      <c r="C48" s="25" t="inlineStr"/>
      <c r="D48" s="8" t="inlineStr"/>
      <c r="E48" s="25" t="inlineStr"/>
      <c r="F48" s="25" t="inlineStr"/>
      <c r="G48" s="26">
        <f>IF(F48="","",IF(F48="1.68mm (Fisheye)","360°",IF(F48="2.8mm","110°",IF(F48="4mm","90°",IF(F48="6mm","60°",IF(F48="8mm","40°",IF(F48="12mm","25°",IF(F48="16mm","18°","Variable"))))))))</f>
        <v/>
      </c>
      <c r="H48" s="8" t="inlineStr"/>
      <c r="I48" s="25" t="inlineStr"/>
      <c r="J48" s="8" t="inlineStr"/>
      <c r="K48" s="25" t="inlineStr"/>
      <c r="L48" s="25" t="inlineStr"/>
      <c r="M48" s="27">
        <f>IF(E48="","",IF(E48="2MP (1080p)",2,IF(E48="4MP (2.7K)",4,IF(E48="5MP",5,IF(E48="6MP",6,IF(E48="8MP (4K)",8,IF(E48="12MP",12,4)))))))</f>
        <v/>
      </c>
      <c r="N48" s="26">
        <f>IF(M48="","",ROUND(M48*3600*24/8/1000,2))</f>
        <v/>
      </c>
      <c r="O48" s="29" t="n">
        <v>31</v>
      </c>
      <c r="P48" s="25" t="inlineStr"/>
      <c r="Q48" s="25" t="inlineStr"/>
      <c r="R48" s="26">
        <f>IF(Q48="","",IF(Q48="Class 1 (4W)",4,IF(Q48="Class 2 (7W)",7,IF(Q48="Class 3 (15.4W)",15.4,IF(Q48="Class 4 (30W)",30,IF(Q48="Class 5 (45W)",45,IF(Q48="Class 6 (60W)",60,IF(Q48="Class 8 (90W)",90,0))))))))</f>
        <v/>
      </c>
      <c r="S48" s="8" t="inlineStr"/>
      <c r="T48" s="8" t="inlineStr"/>
    </row>
    <row r="49" ht="16" customHeight="1">
      <c r="A49" s="23">
        <f>IF(B49="","","CAM-"&amp;TEXT(41,"000"))</f>
        <v/>
      </c>
      <c r="B49" s="24" t="inlineStr"/>
      <c r="C49" s="25" t="inlineStr"/>
      <c r="D49" s="24" t="inlineStr"/>
      <c r="E49" s="25" t="inlineStr"/>
      <c r="F49" s="25" t="inlineStr"/>
      <c r="G49" s="26">
        <f>IF(F49="","",IF(F49="1.68mm (Fisheye)","360°",IF(F49="2.8mm","110°",IF(F49="4mm","90°",IF(F49="6mm","60°",IF(F49="8mm","40°",IF(F49="12mm","25°",IF(F49="16mm","18°","Variable"))))))))</f>
        <v/>
      </c>
      <c r="H49" s="24" t="inlineStr"/>
      <c r="I49" s="25" t="inlineStr"/>
      <c r="J49" s="24" t="inlineStr"/>
      <c r="K49" s="25" t="inlineStr"/>
      <c r="L49" s="25" t="inlineStr"/>
      <c r="M49" s="27">
        <f>IF(E49="","",IF(E49="2MP (1080p)",2,IF(E49="4MP (2.7K)",4,IF(E49="5MP",5,IF(E49="6MP",6,IF(E49="8MP (4K)",8,IF(E49="12MP",12,4)))))))</f>
        <v/>
      </c>
      <c r="N49" s="26">
        <f>IF(M49="","",ROUND(M49*3600*24/8/1000,2))</f>
        <v/>
      </c>
      <c r="O49" s="28" t="n">
        <v>31</v>
      </c>
      <c r="P49" s="25" t="inlineStr"/>
      <c r="Q49" s="25" t="inlineStr"/>
      <c r="R49" s="26">
        <f>IF(Q49="","",IF(Q49="Class 1 (4W)",4,IF(Q49="Class 2 (7W)",7,IF(Q49="Class 3 (15.4W)",15.4,IF(Q49="Class 4 (30W)",30,IF(Q49="Class 5 (45W)",45,IF(Q49="Class 6 (60W)",60,IF(Q49="Class 8 (90W)",90,0))))))))</f>
        <v/>
      </c>
      <c r="S49" s="24" t="inlineStr"/>
      <c r="T49" s="24" t="inlineStr"/>
    </row>
    <row r="50" ht="16" customHeight="1">
      <c r="A50" s="23">
        <f>IF(B50="","","CAM-"&amp;TEXT(42,"000"))</f>
        <v/>
      </c>
      <c r="B50" s="8" t="inlineStr"/>
      <c r="C50" s="25" t="inlineStr"/>
      <c r="D50" s="8" t="inlineStr"/>
      <c r="E50" s="25" t="inlineStr"/>
      <c r="F50" s="25" t="inlineStr"/>
      <c r="G50" s="26">
        <f>IF(F50="","",IF(F50="1.68mm (Fisheye)","360°",IF(F50="2.8mm","110°",IF(F50="4mm","90°",IF(F50="6mm","60°",IF(F50="8mm","40°",IF(F50="12mm","25°",IF(F50="16mm","18°","Variable"))))))))</f>
        <v/>
      </c>
      <c r="H50" s="8" t="inlineStr"/>
      <c r="I50" s="25" t="inlineStr"/>
      <c r="J50" s="8" t="inlineStr"/>
      <c r="K50" s="25" t="inlineStr"/>
      <c r="L50" s="25" t="inlineStr"/>
      <c r="M50" s="27">
        <f>IF(E50="","",IF(E50="2MP (1080p)",2,IF(E50="4MP (2.7K)",4,IF(E50="5MP",5,IF(E50="6MP",6,IF(E50="8MP (4K)",8,IF(E50="12MP",12,4)))))))</f>
        <v/>
      </c>
      <c r="N50" s="26">
        <f>IF(M50="","",ROUND(M50*3600*24/8/1000,2))</f>
        <v/>
      </c>
      <c r="O50" s="29" t="n">
        <v>31</v>
      </c>
      <c r="P50" s="25" t="inlineStr"/>
      <c r="Q50" s="25" t="inlineStr"/>
      <c r="R50" s="26">
        <f>IF(Q50="","",IF(Q50="Class 1 (4W)",4,IF(Q50="Class 2 (7W)",7,IF(Q50="Class 3 (15.4W)",15.4,IF(Q50="Class 4 (30W)",30,IF(Q50="Class 5 (45W)",45,IF(Q50="Class 6 (60W)",60,IF(Q50="Class 8 (90W)",90,0))))))))</f>
        <v/>
      </c>
      <c r="S50" s="8" t="inlineStr"/>
      <c r="T50" s="8" t="inlineStr"/>
    </row>
    <row r="51" ht="16" customHeight="1">
      <c r="A51" s="23">
        <f>IF(B51="","","CAM-"&amp;TEXT(43,"000"))</f>
        <v/>
      </c>
      <c r="B51" s="24" t="inlineStr"/>
      <c r="C51" s="25" t="inlineStr"/>
      <c r="D51" s="24" t="inlineStr"/>
      <c r="E51" s="25" t="inlineStr"/>
      <c r="F51" s="25" t="inlineStr"/>
      <c r="G51" s="26">
        <f>IF(F51="","",IF(F51="1.68mm (Fisheye)","360°",IF(F51="2.8mm","110°",IF(F51="4mm","90°",IF(F51="6mm","60°",IF(F51="8mm","40°",IF(F51="12mm","25°",IF(F51="16mm","18°","Variable"))))))))</f>
        <v/>
      </c>
      <c r="H51" s="24" t="inlineStr"/>
      <c r="I51" s="25" t="inlineStr"/>
      <c r="J51" s="24" t="inlineStr"/>
      <c r="K51" s="25" t="inlineStr"/>
      <c r="L51" s="25" t="inlineStr"/>
      <c r="M51" s="27">
        <f>IF(E51="","",IF(E51="2MP (1080p)",2,IF(E51="4MP (2.7K)",4,IF(E51="5MP",5,IF(E51="6MP",6,IF(E51="8MP (4K)",8,IF(E51="12MP",12,4)))))))</f>
        <v/>
      </c>
      <c r="N51" s="26">
        <f>IF(M51="","",ROUND(M51*3600*24/8/1000,2))</f>
        <v/>
      </c>
      <c r="O51" s="28" t="n">
        <v>31</v>
      </c>
      <c r="P51" s="25" t="inlineStr"/>
      <c r="Q51" s="25" t="inlineStr"/>
      <c r="R51" s="26">
        <f>IF(Q51="","",IF(Q51="Class 1 (4W)",4,IF(Q51="Class 2 (7W)",7,IF(Q51="Class 3 (15.4W)",15.4,IF(Q51="Class 4 (30W)",30,IF(Q51="Class 5 (45W)",45,IF(Q51="Class 6 (60W)",60,IF(Q51="Class 8 (90W)",90,0))))))))</f>
        <v/>
      </c>
      <c r="S51" s="24" t="inlineStr"/>
      <c r="T51" s="24" t="inlineStr"/>
    </row>
    <row r="52" ht="16" customHeight="1">
      <c r="A52" s="23">
        <f>IF(B52="","","CAM-"&amp;TEXT(44,"000"))</f>
        <v/>
      </c>
      <c r="B52" s="8" t="inlineStr"/>
      <c r="C52" s="25" t="inlineStr"/>
      <c r="D52" s="8" t="inlineStr"/>
      <c r="E52" s="25" t="inlineStr"/>
      <c r="F52" s="25" t="inlineStr"/>
      <c r="G52" s="26">
        <f>IF(F52="","",IF(F52="1.68mm (Fisheye)","360°",IF(F52="2.8mm","110°",IF(F52="4mm","90°",IF(F52="6mm","60°",IF(F52="8mm","40°",IF(F52="12mm","25°",IF(F52="16mm","18°","Variable"))))))))</f>
        <v/>
      </c>
      <c r="H52" s="8" t="inlineStr"/>
      <c r="I52" s="25" t="inlineStr"/>
      <c r="J52" s="8" t="inlineStr"/>
      <c r="K52" s="25" t="inlineStr"/>
      <c r="L52" s="25" t="inlineStr"/>
      <c r="M52" s="27">
        <f>IF(E52="","",IF(E52="2MP (1080p)",2,IF(E52="4MP (2.7K)",4,IF(E52="5MP",5,IF(E52="6MP",6,IF(E52="8MP (4K)",8,IF(E52="12MP",12,4)))))))</f>
        <v/>
      </c>
      <c r="N52" s="26">
        <f>IF(M52="","",ROUND(M52*3600*24/8/1000,2))</f>
        <v/>
      </c>
      <c r="O52" s="29" t="n">
        <v>31</v>
      </c>
      <c r="P52" s="25" t="inlineStr"/>
      <c r="Q52" s="25" t="inlineStr"/>
      <c r="R52" s="26">
        <f>IF(Q52="","",IF(Q52="Class 1 (4W)",4,IF(Q52="Class 2 (7W)",7,IF(Q52="Class 3 (15.4W)",15.4,IF(Q52="Class 4 (30W)",30,IF(Q52="Class 5 (45W)",45,IF(Q52="Class 6 (60W)",60,IF(Q52="Class 8 (90W)",90,0))))))))</f>
        <v/>
      </c>
      <c r="S52" s="8" t="inlineStr"/>
      <c r="T52" s="8" t="inlineStr"/>
    </row>
    <row r="53" ht="16" customHeight="1">
      <c r="A53" s="23">
        <f>IF(B53="","","CAM-"&amp;TEXT(45,"000"))</f>
        <v/>
      </c>
      <c r="B53" s="24" t="inlineStr"/>
      <c r="C53" s="25" t="inlineStr"/>
      <c r="D53" s="24" t="inlineStr"/>
      <c r="E53" s="25" t="inlineStr"/>
      <c r="F53" s="25" t="inlineStr"/>
      <c r="G53" s="26">
        <f>IF(F53="","",IF(F53="1.68mm (Fisheye)","360°",IF(F53="2.8mm","110°",IF(F53="4mm","90°",IF(F53="6mm","60°",IF(F53="8mm","40°",IF(F53="12mm","25°",IF(F53="16mm","18°","Variable"))))))))</f>
        <v/>
      </c>
      <c r="H53" s="24" t="inlineStr"/>
      <c r="I53" s="25" t="inlineStr"/>
      <c r="J53" s="24" t="inlineStr"/>
      <c r="K53" s="25" t="inlineStr"/>
      <c r="L53" s="25" t="inlineStr"/>
      <c r="M53" s="27">
        <f>IF(E53="","",IF(E53="2MP (1080p)",2,IF(E53="4MP (2.7K)",4,IF(E53="5MP",5,IF(E53="6MP",6,IF(E53="8MP (4K)",8,IF(E53="12MP",12,4)))))))</f>
        <v/>
      </c>
      <c r="N53" s="26">
        <f>IF(M53="","",ROUND(M53*3600*24/8/1000,2))</f>
        <v/>
      </c>
      <c r="O53" s="28" t="n">
        <v>31</v>
      </c>
      <c r="P53" s="25" t="inlineStr"/>
      <c r="Q53" s="25" t="inlineStr"/>
      <c r="R53" s="26">
        <f>IF(Q53="","",IF(Q53="Class 1 (4W)",4,IF(Q53="Class 2 (7W)",7,IF(Q53="Class 3 (15.4W)",15.4,IF(Q53="Class 4 (30W)",30,IF(Q53="Class 5 (45W)",45,IF(Q53="Class 6 (60W)",60,IF(Q53="Class 8 (90W)",90,0))))))))</f>
        <v/>
      </c>
      <c r="S53" s="24" t="inlineStr"/>
      <c r="T53" s="24" t="inlineStr"/>
    </row>
    <row r="54" ht="16" customHeight="1">
      <c r="A54" s="23">
        <f>IF(B54="","","CAM-"&amp;TEXT(46,"000"))</f>
        <v/>
      </c>
      <c r="B54" s="8" t="inlineStr"/>
      <c r="C54" s="25" t="inlineStr"/>
      <c r="D54" s="8" t="inlineStr"/>
      <c r="E54" s="25" t="inlineStr"/>
      <c r="F54" s="25" t="inlineStr"/>
      <c r="G54" s="26">
        <f>IF(F54="","",IF(F54="1.68mm (Fisheye)","360°",IF(F54="2.8mm","110°",IF(F54="4mm","90°",IF(F54="6mm","60°",IF(F54="8mm","40°",IF(F54="12mm","25°",IF(F54="16mm","18°","Variable"))))))))</f>
        <v/>
      </c>
      <c r="H54" s="8" t="inlineStr"/>
      <c r="I54" s="25" t="inlineStr"/>
      <c r="J54" s="8" t="inlineStr"/>
      <c r="K54" s="25" t="inlineStr"/>
      <c r="L54" s="25" t="inlineStr"/>
      <c r="M54" s="27">
        <f>IF(E54="","",IF(E54="2MP (1080p)",2,IF(E54="4MP (2.7K)",4,IF(E54="5MP",5,IF(E54="6MP",6,IF(E54="8MP (4K)",8,IF(E54="12MP",12,4)))))))</f>
        <v/>
      </c>
      <c r="N54" s="26">
        <f>IF(M54="","",ROUND(M54*3600*24/8/1000,2))</f>
        <v/>
      </c>
      <c r="O54" s="29" t="n">
        <v>31</v>
      </c>
      <c r="P54" s="25" t="inlineStr"/>
      <c r="Q54" s="25" t="inlineStr"/>
      <c r="R54" s="26">
        <f>IF(Q54="","",IF(Q54="Class 1 (4W)",4,IF(Q54="Class 2 (7W)",7,IF(Q54="Class 3 (15.4W)",15.4,IF(Q54="Class 4 (30W)",30,IF(Q54="Class 5 (45W)",45,IF(Q54="Class 6 (60W)",60,IF(Q54="Class 8 (90W)",90,0))))))))</f>
        <v/>
      </c>
      <c r="S54" s="8" t="inlineStr"/>
      <c r="T54" s="8" t="inlineStr"/>
    </row>
    <row r="55" ht="16" customHeight="1">
      <c r="A55" s="23">
        <f>IF(B55="","","CAM-"&amp;TEXT(47,"000"))</f>
        <v/>
      </c>
      <c r="B55" s="24" t="inlineStr"/>
      <c r="C55" s="25" t="inlineStr"/>
      <c r="D55" s="24" t="inlineStr"/>
      <c r="E55" s="25" t="inlineStr"/>
      <c r="F55" s="25" t="inlineStr"/>
      <c r="G55" s="26">
        <f>IF(F55="","",IF(F55="1.68mm (Fisheye)","360°",IF(F55="2.8mm","110°",IF(F55="4mm","90°",IF(F55="6mm","60°",IF(F55="8mm","40°",IF(F55="12mm","25°",IF(F55="16mm","18°","Variable"))))))))</f>
        <v/>
      </c>
      <c r="H55" s="24" t="inlineStr"/>
      <c r="I55" s="25" t="inlineStr"/>
      <c r="J55" s="24" t="inlineStr"/>
      <c r="K55" s="25" t="inlineStr"/>
      <c r="L55" s="25" t="inlineStr"/>
      <c r="M55" s="27">
        <f>IF(E55="","",IF(E55="2MP (1080p)",2,IF(E55="4MP (2.7K)",4,IF(E55="5MP",5,IF(E55="6MP",6,IF(E55="8MP (4K)",8,IF(E55="12MP",12,4)))))))</f>
        <v/>
      </c>
      <c r="N55" s="26">
        <f>IF(M55="","",ROUND(M55*3600*24/8/1000,2))</f>
        <v/>
      </c>
      <c r="O55" s="28" t="n">
        <v>31</v>
      </c>
      <c r="P55" s="25" t="inlineStr"/>
      <c r="Q55" s="25" t="inlineStr"/>
      <c r="R55" s="26">
        <f>IF(Q55="","",IF(Q55="Class 1 (4W)",4,IF(Q55="Class 2 (7W)",7,IF(Q55="Class 3 (15.4W)",15.4,IF(Q55="Class 4 (30W)",30,IF(Q55="Class 5 (45W)",45,IF(Q55="Class 6 (60W)",60,IF(Q55="Class 8 (90W)",90,0))))))))</f>
        <v/>
      </c>
      <c r="S55" s="24" t="inlineStr"/>
      <c r="T55" s="24" t="inlineStr"/>
    </row>
    <row r="56" ht="16" customHeight="1">
      <c r="A56" s="23">
        <f>IF(B56="","","CAM-"&amp;TEXT(48,"000"))</f>
        <v/>
      </c>
      <c r="B56" s="8" t="inlineStr"/>
      <c r="C56" s="25" t="inlineStr"/>
      <c r="D56" s="8" t="inlineStr"/>
      <c r="E56" s="25" t="inlineStr"/>
      <c r="F56" s="25" t="inlineStr"/>
      <c r="G56" s="26">
        <f>IF(F56="","",IF(F56="1.68mm (Fisheye)","360°",IF(F56="2.8mm","110°",IF(F56="4mm","90°",IF(F56="6mm","60°",IF(F56="8mm","40°",IF(F56="12mm","25°",IF(F56="16mm","18°","Variable"))))))))</f>
        <v/>
      </c>
      <c r="H56" s="8" t="inlineStr"/>
      <c r="I56" s="25" t="inlineStr"/>
      <c r="J56" s="8" t="inlineStr"/>
      <c r="K56" s="25" t="inlineStr"/>
      <c r="L56" s="25" t="inlineStr"/>
      <c r="M56" s="27">
        <f>IF(E56="","",IF(E56="2MP (1080p)",2,IF(E56="4MP (2.7K)",4,IF(E56="5MP",5,IF(E56="6MP",6,IF(E56="8MP (4K)",8,IF(E56="12MP",12,4)))))))</f>
        <v/>
      </c>
      <c r="N56" s="26">
        <f>IF(M56="","",ROUND(M56*3600*24/8/1000,2))</f>
        <v/>
      </c>
      <c r="O56" s="29" t="n">
        <v>31</v>
      </c>
      <c r="P56" s="25" t="inlineStr"/>
      <c r="Q56" s="25" t="inlineStr"/>
      <c r="R56" s="26">
        <f>IF(Q56="","",IF(Q56="Class 1 (4W)",4,IF(Q56="Class 2 (7W)",7,IF(Q56="Class 3 (15.4W)",15.4,IF(Q56="Class 4 (30W)",30,IF(Q56="Class 5 (45W)",45,IF(Q56="Class 6 (60W)",60,IF(Q56="Class 8 (90W)",90,0))))))))</f>
        <v/>
      </c>
      <c r="S56" s="8" t="inlineStr"/>
      <c r="T56" s="8" t="inlineStr"/>
    </row>
    <row r="57" ht="16" customHeight="1">
      <c r="A57" s="23">
        <f>IF(B57="","","CAM-"&amp;TEXT(49,"000"))</f>
        <v/>
      </c>
      <c r="B57" s="24" t="inlineStr"/>
      <c r="C57" s="25" t="inlineStr"/>
      <c r="D57" s="24" t="inlineStr"/>
      <c r="E57" s="25" t="inlineStr"/>
      <c r="F57" s="25" t="inlineStr"/>
      <c r="G57" s="26">
        <f>IF(F57="","",IF(F57="1.68mm (Fisheye)","360°",IF(F57="2.8mm","110°",IF(F57="4mm","90°",IF(F57="6mm","60°",IF(F57="8mm","40°",IF(F57="12mm","25°",IF(F57="16mm","18°","Variable"))))))))</f>
        <v/>
      </c>
      <c r="H57" s="24" t="inlineStr"/>
      <c r="I57" s="25" t="inlineStr"/>
      <c r="J57" s="24" t="inlineStr"/>
      <c r="K57" s="25" t="inlineStr"/>
      <c r="L57" s="25" t="inlineStr"/>
      <c r="M57" s="27">
        <f>IF(E57="","",IF(E57="2MP (1080p)",2,IF(E57="4MP (2.7K)",4,IF(E57="5MP",5,IF(E57="6MP",6,IF(E57="8MP (4K)",8,IF(E57="12MP",12,4)))))))</f>
        <v/>
      </c>
      <c r="N57" s="26">
        <f>IF(M57="","",ROUND(M57*3600*24/8/1000,2))</f>
        <v/>
      </c>
      <c r="O57" s="28" t="n">
        <v>31</v>
      </c>
      <c r="P57" s="25" t="inlineStr"/>
      <c r="Q57" s="25" t="inlineStr"/>
      <c r="R57" s="26">
        <f>IF(Q57="","",IF(Q57="Class 1 (4W)",4,IF(Q57="Class 2 (7W)",7,IF(Q57="Class 3 (15.4W)",15.4,IF(Q57="Class 4 (30W)",30,IF(Q57="Class 5 (45W)",45,IF(Q57="Class 6 (60W)",60,IF(Q57="Class 8 (90W)",90,0))))))))</f>
        <v/>
      </c>
      <c r="S57" s="24" t="inlineStr"/>
      <c r="T57" s="24" t="inlineStr"/>
    </row>
    <row r="58" ht="16" customHeight="1">
      <c r="A58" s="23">
        <f>IF(B58="","","CAM-"&amp;TEXT(50,"000"))</f>
        <v/>
      </c>
      <c r="B58" s="8" t="inlineStr"/>
      <c r="C58" s="25" t="inlineStr"/>
      <c r="D58" s="8" t="inlineStr"/>
      <c r="E58" s="25" t="inlineStr"/>
      <c r="F58" s="25" t="inlineStr"/>
      <c r="G58" s="26">
        <f>IF(F58="","",IF(F58="1.68mm (Fisheye)","360°",IF(F58="2.8mm","110°",IF(F58="4mm","90°",IF(F58="6mm","60°",IF(F58="8mm","40°",IF(F58="12mm","25°",IF(F58="16mm","18°","Variable"))))))))</f>
        <v/>
      </c>
      <c r="H58" s="8" t="inlineStr"/>
      <c r="I58" s="25" t="inlineStr"/>
      <c r="J58" s="8" t="inlineStr"/>
      <c r="K58" s="25" t="inlineStr"/>
      <c r="L58" s="25" t="inlineStr"/>
      <c r="M58" s="27">
        <f>IF(E58="","",IF(E58="2MP (1080p)",2,IF(E58="4MP (2.7K)",4,IF(E58="5MP",5,IF(E58="6MP",6,IF(E58="8MP (4K)",8,IF(E58="12MP",12,4)))))))</f>
        <v/>
      </c>
      <c r="N58" s="26">
        <f>IF(M58="","",ROUND(M58*3600*24/8/1000,2))</f>
        <v/>
      </c>
      <c r="O58" s="29" t="n">
        <v>31</v>
      </c>
      <c r="P58" s="25" t="inlineStr"/>
      <c r="Q58" s="25" t="inlineStr"/>
      <c r="R58" s="26">
        <f>IF(Q58="","",IF(Q58="Class 1 (4W)",4,IF(Q58="Class 2 (7W)",7,IF(Q58="Class 3 (15.4W)",15.4,IF(Q58="Class 4 (30W)",30,IF(Q58="Class 5 (45W)",45,IF(Q58="Class 6 (60W)",60,IF(Q58="Class 8 (90W)",90,0))))))))</f>
        <v/>
      </c>
      <c r="S58" s="8" t="inlineStr"/>
      <c r="T58" s="8" t="inlineStr"/>
    </row>
    <row r="60" ht="16" customHeight="1">
      <c r="A60" s="30" t="inlineStr">
        <is>
          <t>COLOUR KEY:</t>
        </is>
      </c>
      <c r="E60" s="31" t="inlineStr">
        <is>
          <t>Yellow = Dropdown — click cell for list</t>
        </is>
      </c>
      <c r="H60" s="32" t="inlineStr">
        <is>
          <t>Green = Formula — auto-calculated</t>
        </is>
      </c>
      <c r="K60" s="33" t="inlineStr">
        <is>
          <t>White/Grey = Free text entry</t>
        </is>
      </c>
    </row>
  </sheetData>
  <mergeCells count="4">
    <mergeCell ref="A5:T5"/>
    <mergeCell ref="A1:T2"/>
    <mergeCell ref="A60:D60"/>
    <mergeCell ref="A3:T3"/>
  </mergeCells>
  <dataValidations count="8">
    <dataValidation sqref="C9:C58" showDropDown="0" showInputMessage="0" showErrorMessage="0" allowBlank="1" type="list">
      <formula1>"Fixed Dome,Vandal Dome,Mini Dome,Bullet,Turret,PTZ,ANPR / LPR,Thermal,Multi-Sensor,Body-Worn,Covert / Pinhole,Fisheye 360°,Box"</formula1>
    </dataValidation>
    <dataValidation sqref="E9:E58" showDropDown="0" showInputMessage="0" showErrorMessage="0" allowBlank="1" type="list">
      <formula1>"2MP (1080p),4MP (2.7K),5MP,6MP,8MP (4K),12MP"</formula1>
    </dataValidation>
    <dataValidation sqref="F9:F58" showDropDown="0" showInputMessage="0" showErrorMessage="0" allowBlank="1" type="list">
      <formula1>"1.68mm (Fisheye),2.8mm,4mm,6mm,8mm,12mm,16mm,Varifocal 2.8-12mm,Varifocal 5-50mm"</formula1>
    </dataValidation>
    <dataValidation sqref="I9:I58" showDropDown="0" showInputMessage="0" showErrorMessage="0" allowBlank="1" type="list">
      <formula1>"Wall Bracket,Ceiling Flush,Ceiling Pendant,Corner Mount,Pole / Column,Parapet,Gantry,In-ceiling Tile,Junction Box"</formula1>
    </dataValidation>
    <dataValidation sqref="K9:K58" showDropDown="0" showInputMessage="0" showErrorMessage="0" allowBlank="1" type="list">
      <formula1>"IP65,IP66,IP67,IP68,IK08,IK10,IP66 IK10,IP67 IK10,IP68 IK10"</formula1>
    </dataValidation>
    <dataValidation sqref="L9:L58" showDropDown="0" showInputMessage="0" showErrorMessage="0" allowBlank="1" type="list">
      <formula1>"H.265+,H.265,H.264+,H.264,MJPEG"</formula1>
    </dataValidation>
    <dataValidation sqref="P9:P58" showDropDown="0" showInputMessage="0" showErrorMessage="0" allowBlank="1" type="list">
      <formula1>"PoE,PoE+,PoE++ (Class 6),PoE++ (Class 8),Local PSU 12V,Local PSU 24V AC"</formula1>
    </dataValidation>
    <dataValidation sqref="Q9:Q58" showDropDown="0" showInputMessage="0" showErrorMessage="0" allowBlank="1" type="list">
      <formula1>"Class 1 (4W),Class 2 (7W),Class 3 (15.4W),Class 4 (30W),Class 5 (45W),Class 6 (60W),Class 8 (90W),N/A"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8500A"/>
    <outlinePr summaryBelow="1" summaryRight="1"/>
    <pageSetUpPr/>
  </sheetPr>
  <dimension ref="A1:H3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  <col width="14" customWidth="1" min="3" max="3"/>
    <col width="14" customWidth="1" min="4" max="4"/>
    <col width="16" customWidth="1" min="5" max="5"/>
    <col width="16" customWidth="1" min="6" max="6"/>
    <col width="32" customWidth="1" min="7" max="7"/>
    <col width="10" customWidth="1" min="8" max="8"/>
  </cols>
  <sheetData>
    <row r="1" ht="26" customHeight="1">
      <c r="A1" s="1" t="inlineStr">
        <is>
          <t>COPELAND GROUP SERVICES — STORAGE CALCULATOR</t>
        </is>
      </c>
    </row>
    <row r="2" ht="8" customHeight="1"/>
    <row r="3" ht="16" customHeight="1">
      <c r="A3" s="2" t="inlineStr">
        <is>
          <t>Based on camera schedule data  |  Adjust bitrates on Camera Schedule sheet</t>
        </is>
      </c>
    </row>
    <row r="5" ht="20" customHeight="1">
      <c r="A5" s="18" t="inlineStr">
        <is>
          <t xml:space="preserve">  STORAGE BY RETENTION PERIOD — PULLED FROM CAMERA SCHEDULE</t>
        </is>
      </c>
    </row>
    <row r="6" ht="18" customHeight="1">
      <c r="A6" s="7" t="inlineStr">
        <is>
          <t>Retention Period</t>
        </is>
      </c>
      <c r="B6" s="7" t="inlineStr">
        <is>
          <t>Days</t>
        </is>
      </c>
      <c r="C6" s="7" t="inlineStr">
        <is>
          <t>Total GB</t>
        </is>
      </c>
      <c r="D6" s="7" t="inlineStr">
        <is>
          <t>Total TB</t>
        </is>
      </c>
      <c r="E6" s="7" t="inlineStr">
        <is>
          <t>HDD Qty (4TB drives)</t>
        </is>
      </c>
      <c r="F6" s="7" t="inlineStr">
        <is>
          <t>HDD Qty (8TB drives)</t>
        </is>
      </c>
      <c r="G6" s="7" t="inlineStr">
        <is>
          <t>NVR Min (TB)</t>
        </is>
      </c>
      <c r="H6" s="7" t="inlineStr">
        <is>
          <t>Notes</t>
        </is>
      </c>
    </row>
    <row r="7" ht="18" customHeight="1">
      <c r="A7" s="34" t="inlineStr">
        <is>
          <t>14 days (CCTV CoP minimum)</t>
        </is>
      </c>
      <c r="B7" s="35" t="n">
        <v>14</v>
      </c>
      <c r="C7" s="36">
        <f>ROUND(SUM('Camera Schedule'!N9:'Camera Schedule'!N58)*14,0)</f>
        <v/>
      </c>
      <c r="D7" s="37">
        <f>ROUND(SUM('Camera Schedule'!N9:'Camera Schedule'!N58)*14/1000,2)</f>
        <v/>
      </c>
      <c r="E7" s="37">
        <f>CEILING(SUM('Camera Schedule'!N9:'Camera Schedule'!N58)*14/4000,1)</f>
        <v/>
      </c>
      <c r="F7" s="37">
        <f>CEILING(SUM('Camera Schedule'!N9:'Camera Schedule'!N58)*14/8000,1)</f>
        <v/>
      </c>
      <c r="G7" s="37">
        <f>CEILING(SUM('Camera Schedule'!N9:'Camera Schedule'!N58)*14/1000,1)*1.2</f>
        <v/>
      </c>
      <c r="H7" s="37" t="inlineStr"/>
    </row>
    <row r="8" ht="18" customHeight="1">
      <c r="A8" s="38" t="inlineStr">
        <is>
          <t>28 days (Standard commercial)</t>
        </is>
      </c>
      <c r="B8" s="39" t="n">
        <v>28</v>
      </c>
      <c r="C8" s="40">
        <f>ROUND(SUM('Camera Schedule'!N9:'Camera Schedule'!N58)*28,0)</f>
        <v/>
      </c>
      <c r="D8" s="41">
        <f>ROUND(SUM('Camera Schedule'!N9:'Camera Schedule'!N58)*28/1000,2)</f>
        <v/>
      </c>
      <c r="E8" s="41">
        <f>CEILING(SUM('Camera Schedule'!N9:'Camera Schedule'!N58)*28/4000,1)</f>
        <v/>
      </c>
      <c r="F8" s="41">
        <f>CEILING(SUM('Camera Schedule'!N9:'Camera Schedule'!N58)*28/8000,1)</f>
        <v/>
      </c>
      <c r="G8" s="41">
        <f>CEILING(SUM('Camera Schedule'!N9:'Camera Schedule'!N58)*28/1000,1)*1.2</f>
        <v/>
      </c>
      <c r="H8" s="41" t="inlineStr"/>
    </row>
    <row r="9" ht="18" customHeight="1">
      <c r="A9" s="34" t="inlineStr">
        <is>
          <t>31 days (Recommended)</t>
        </is>
      </c>
      <c r="B9" s="35" t="n">
        <v>31</v>
      </c>
      <c r="C9" s="36">
        <f>ROUND(SUM('Camera Schedule'!N9:'Camera Schedule'!N58)*31,0)</f>
        <v/>
      </c>
      <c r="D9" s="37">
        <f>ROUND(SUM('Camera Schedule'!N9:'Camera Schedule'!N58)*31/1000,2)</f>
        <v/>
      </c>
      <c r="E9" s="37">
        <f>CEILING(SUM('Camera Schedule'!N9:'Camera Schedule'!N58)*31/4000,1)</f>
        <v/>
      </c>
      <c r="F9" s="37">
        <f>CEILING(SUM('Camera Schedule'!N9:'Camera Schedule'!N58)*31/8000,1)</f>
        <v/>
      </c>
      <c r="G9" s="37">
        <f>CEILING(SUM('Camera Schedule'!N9:'Camera Schedule'!N58)*31/1000,1)*1.2</f>
        <v/>
      </c>
      <c r="H9" s="37" t="inlineStr">
        <is>
          <t>Add 20% headroom for OS/metadata</t>
        </is>
      </c>
    </row>
    <row r="10" ht="18" customHeight="1">
      <c r="A10" s="38" t="inlineStr">
        <is>
          <t>60 days (High risk / financial)</t>
        </is>
      </c>
      <c r="B10" s="39" t="n">
        <v>60</v>
      </c>
      <c r="C10" s="40">
        <f>ROUND(SUM('Camera Schedule'!N9:'Camera Schedule'!N58)*60,0)</f>
        <v/>
      </c>
      <c r="D10" s="41">
        <f>ROUND(SUM('Camera Schedule'!N9:'Camera Schedule'!N58)*60/1000,2)</f>
        <v/>
      </c>
      <c r="E10" s="41">
        <f>CEILING(SUM('Camera Schedule'!N9:'Camera Schedule'!N58)*60/4000,1)</f>
        <v/>
      </c>
      <c r="F10" s="41">
        <f>CEILING(SUM('Camera Schedule'!N9:'Camera Schedule'!N58)*60/8000,1)</f>
        <v/>
      </c>
      <c r="G10" s="41">
        <f>CEILING(SUM('Camera Schedule'!N9:'Camera Schedule'!N58)*60/1000,1)*1.2</f>
        <v/>
      </c>
      <c r="H10" s="41" t="inlineStr"/>
    </row>
    <row r="11" ht="18" customHeight="1">
      <c r="A11" s="34" t="inlineStr">
        <is>
          <t>90 days (Archive requirement)</t>
        </is>
      </c>
      <c r="B11" s="35" t="n">
        <v>90</v>
      </c>
      <c r="C11" s="36">
        <f>ROUND(SUM('Camera Schedule'!N9:'Camera Schedule'!N58)*90,0)</f>
        <v/>
      </c>
      <c r="D11" s="37">
        <f>ROUND(SUM('Camera Schedule'!N9:'Camera Schedule'!N58)*90/1000,2)</f>
        <v/>
      </c>
      <c r="E11" s="37">
        <f>CEILING(SUM('Camera Schedule'!N9:'Camera Schedule'!N58)*90/4000,1)</f>
        <v/>
      </c>
      <c r="F11" s="37">
        <f>CEILING(SUM('Camera Schedule'!N9:'Camera Schedule'!N58)*90/8000,1)</f>
        <v/>
      </c>
      <c r="G11" s="37">
        <f>CEILING(SUM('Camera Schedule'!N9:'Camera Schedule'!N58)*90/1000,1)*1.2</f>
        <v/>
      </c>
      <c r="H11" s="37" t="inlineStr"/>
    </row>
    <row r="14" ht="20" customHeight="1">
      <c r="A14" s="6" t="inlineStr">
        <is>
          <t xml:space="preserve">  BITRATE REFERENCE TABLE</t>
        </is>
      </c>
    </row>
    <row r="15" ht="18" customHeight="1">
      <c r="A15" s="42" t="inlineStr">
        <is>
          <t>Resolution</t>
        </is>
      </c>
      <c r="B15" s="42" t="inlineStr">
        <is>
          <t>Scene</t>
        </is>
      </c>
      <c r="C15" s="42" t="inlineStr">
        <is>
          <t>H.265 Mbps</t>
        </is>
      </c>
      <c r="D15" s="42" t="inlineStr">
        <is>
          <t>H.264 Mbps</t>
        </is>
      </c>
      <c r="E15" s="42" t="inlineStr">
        <is>
          <t>GB/day H.265</t>
        </is>
      </c>
      <c r="F15" s="42" t="inlineStr">
        <is>
          <t>GB/day H.264</t>
        </is>
      </c>
      <c r="G15" s="42" t="inlineStr">
        <is>
          <t>Notes</t>
        </is>
      </c>
      <c r="H15" s="42" t="inlineStr"/>
    </row>
    <row r="16" ht="16" customHeight="1">
      <c r="A16" s="8" t="inlineStr">
        <is>
          <t>2MP (1080p)</t>
        </is>
      </c>
      <c r="B16" s="8" t="inlineStr">
        <is>
          <t>Internal / low movement</t>
        </is>
      </c>
      <c r="C16" s="41" t="n">
        <v>1.5</v>
      </c>
      <c r="D16" s="41" t="n">
        <v>3</v>
      </c>
      <c r="E16" s="41" t="n">
        <v>16.2</v>
      </c>
      <c r="F16" s="41" t="n">
        <v>32.4</v>
      </c>
      <c r="G16" s="41" t="inlineStr"/>
      <c r="H16" s="41" t="inlineStr"/>
    </row>
    <row r="17" ht="16" customHeight="1">
      <c r="A17" s="24" t="inlineStr">
        <is>
          <t>2MP (1080p)</t>
        </is>
      </c>
      <c r="B17" s="24" t="inlineStr">
        <is>
          <t>External / busy</t>
        </is>
      </c>
      <c r="C17" s="37" t="n">
        <v>3</v>
      </c>
      <c r="D17" s="37" t="n">
        <v>6</v>
      </c>
      <c r="E17" s="37" t="n">
        <v>32.4</v>
      </c>
      <c r="F17" s="37" t="n">
        <v>64.8</v>
      </c>
      <c r="G17" s="37" t="inlineStr"/>
      <c r="H17" s="37" t="inlineStr"/>
    </row>
    <row r="18" ht="16" customHeight="1">
      <c r="A18" s="8" t="inlineStr">
        <is>
          <t>4MP (2.7K)</t>
        </is>
      </c>
      <c r="B18" s="8" t="inlineStr">
        <is>
          <t>Internal / low movement</t>
        </is>
      </c>
      <c r="C18" s="41" t="n">
        <v>3</v>
      </c>
      <c r="D18" s="41" t="n">
        <v>6</v>
      </c>
      <c r="E18" s="41" t="n">
        <v>32.4</v>
      </c>
      <c r="F18" s="41" t="n">
        <v>64.8</v>
      </c>
      <c r="G18" s="41" t="inlineStr"/>
      <c r="H18" s="41" t="inlineStr"/>
    </row>
    <row r="19" ht="16" customHeight="1">
      <c r="A19" s="24" t="inlineStr">
        <is>
          <t>4MP (2.7K)</t>
        </is>
      </c>
      <c r="B19" s="24" t="inlineStr">
        <is>
          <t>External / busy</t>
        </is>
      </c>
      <c r="C19" s="37" t="n">
        <v>5</v>
      </c>
      <c r="D19" s="37" t="n">
        <v>10</v>
      </c>
      <c r="E19" s="37" t="n">
        <v>54</v>
      </c>
      <c r="F19" s="37" t="n">
        <v>108</v>
      </c>
      <c r="G19" s="37" t="inlineStr"/>
      <c r="H19" s="37" t="inlineStr"/>
    </row>
    <row r="20" ht="16" customHeight="1">
      <c r="A20" s="8" t="inlineStr">
        <is>
          <t>8MP (4K)</t>
        </is>
      </c>
      <c r="B20" s="8" t="inlineStr">
        <is>
          <t>Internal / low movement</t>
        </is>
      </c>
      <c r="C20" s="41" t="n">
        <v>6</v>
      </c>
      <c r="D20" s="41" t="n">
        <v>12</v>
      </c>
      <c r="E20" s="41" t="n">
        <v>64.8</v>
      </c>
      <c r="F20" s="41" t="n">
        <v>129.6</v>
      </c>
      <c r="G20" s="41" t="inlineStr"/>
      <c r="H20" s="41" t="inlineStr"/>
    </row>
    <row r="21" ht="16" customHeight="1">
      <c r="A21" s="24" t="inlineStr">
        <is>
          <t>8MP (4K)</t>
        </is>
      </c>
      <c r="B21" s="24" t="inlineStr">
        <is>
          <t>External / busy</t>
        </is>
      </c>
      <c r="C21" s="37" t="n">
        <v>10</v>
      </c>
      <c r="D21" s="37" t="n">
        <v>20</v>
      </c>
      <c r="E21" s="37" t="n">
        <v>108</v>
      </c>
      <c r="F21" s="37" t="n">
        <v>216</v>
      </c>
      <c r="G21" s="37" t="inlineStr"/>
      <c r="H21" s="37" t="inlineStr"/>
    </row>
    <row r="22" ht="16" customHeight="1">
      <c r="A22" s="8" t="inlineStr">
        <is>
          <t>12MP</t>
        </is>
      </c>
      <c r="B22" s="8" t="inlineStr">
        <is>
          <t>Any</t>
        </is>
      </c>
      <c r="C22" s="41" t="n">
        <v>12</v>
      </c>
      <c r="D22" s="41" t="n">
        <v>24</v>
      </c>
      <c r="E22" s="41" t="n">
        <v>129.6</v>
      </c>
      <c r="F22" s="41" t="n">
        <v>259.2</v>
      </c>
      <c r="G22" s="41" t="inlineStr">
        <is>
          <t>High bandwidth — plan network carefully</t>
        </is>
      </c>
      <c r="H22" s="41" t="inlineStr"/>
    </row>
    <row r="25" ht="20" customHeight="1">
      <c r="A25" s="43" t="inlineStr">
        <is>
          <t xml:space="preserve">  NVR SIZING NOTES</t>
        </is>
      </c>
    </row>
    <row r="26" ht="16" customHeight="1">
      <c r="A26" s="44" t="inlineStr">
        <is>
          <t>1. Always add 20% headroom to calculated storage for OS, metadata, and smart features.</t>
        </is>
      </c>
    </row>
    <row r="27" ht="16" customHeight="1">
      <c r="A27" s="44" t="inlineStr">
        <is>
          <t>2. Cameras using smart compression (H.265+) can reduce storage by 50–70% vs H.264.</t>
        </is>
      </c>
    </row>
    <row r="28" ht="16" customHeight="1">
      <c r="A28" s="44" t="inlineStr">
        <is>
          <t>3. Motion-triggered recording reduces storage significantly — confirm with client requirements.</t>
        </is>
      </c>
    </row>
    <row r="29" ht="16" customHeight="1">
      <c r="A29" s="44" t="inlineStr">
        <is>
          <t>4. RAID configurations reduce usable capacity: RAID 5 = (N-1)/N × raw. Factor into drive count.</t>
        </is>
      </c>
    </row>
    <row r="30" ht="16" customHeight="1">
      <c r="A30" s="44" t="inlineStr">
        <is>
          <t>5. Cloud backup adds cost but protects against local NVR failure — recommend for high-risk sites.</t>
        </is>
      </c>
    </row>
    <row r="31" ht="16" customHeight="1">
      <c r="A31" s="44" t="inlineStr">
        <is>
          <t>6. Retention of 31 days recommended as standard. Martyn's Law events: 30 days post-event minimum.</t>
        </is>
      </c>
    </row>
  </sheetData>
  <mergeCells count="11">
    <mergeCell ref="A3:H3"/>
    <mergeCell ref="A26:H26"/>
    <mergeCell ref="A30:H30"/>
    <mergeCell ref="A29:H29"/>
    <mergeCell ref="A25:H25"/>
    <mergeCell ref="A28:H28"/>
    <mergeCell ref="A14:H14"/>
    <mergeCell ref="A5:H5"/>
    <mergeCell ref="A1:H2"/>
    <mergeCell ref="A27:H27"/>
    <mergeCell ref="A31:H3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3087"/>
    <outlinePr summaryBelow="1" summaryRight="1"/>
    <pageSetUpPr/>
  </sheetPr>
  <dimension ref="A1:H3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32" customWidth="1" min="3" max="3"/>
    <col width="12" customWidth="1" min="4" max="4"/>
    <col width="14" customWidth="1" min="5" max="5"/>
    <col width="14" customWidth="1" min="6" max="6"/>
    <col width="12" customWidth="1" min="7" max="7"/>
    <col width="12" customWidth="1" min="8" max="8"/>
  </cols>
  <sheetData>
    <row r="1" ht="26" customHeight="1">
      <c r="A1" s="1" t="inlineStr">
        <is>
          <t>COPELAND GROUP SERVICES — PoE POWER BUDGET</t>
        </is>
      </c>
    </row>
    <row r="2" ht="8" customHeight="1"/>
    <row r="3" ht="16" customHeight="1">
      <c r="A3" s="2" t="inlineStr">
        <is>
          <t>IEEE 802.3af / at / bt  |  Always add 20% headroom  |  Verify switch spec before ordering</t>
        </is>
      </c>
    </row>
    <row r="5" ht="20" customHeight="1">
      <c r="A5" s="18" t="inlineStr">
        <is>
          <t xml:space="preserve">  PoE SWITCH SCHEDULE — ENTER SWITCH DETAILS BELOW</t>
        </is>
      </c>
    </row>
    <row r="6" ht="18" customHeight="1">
      <c r="A6" s="22" t="inlineStr">
        <is>
          <t>Switch ID</t>
        </is>
      </c>
      <c r="B6" s="22" t="inlineStr">
        <is>
          <t>Location</t>
        </is>
      </c>
      <c r="C6" s="22" t="inlineStr">
        <is>
          <t>Make / Model</t>
        </is>
      </c>
      <c r="D6" s="22" t="inlineStr">
        <is>
          <t>Total PoE Budget (W)</t>
        </is>
      </c>
      <c r="E6" s="22" t="inlineStr">
        <is>
          <t>Standard</t>
        </is>
      </c>
      <c r="F6" s="22" t="inlineStr">
        <is>
          <t>Ports</t>
        </is>
      </c>
      <c r="G6" s="22" t="inlineStr">
        <is>
          <t>Notes</t>
        </is>
      </c>
      <c r="H6" s="22" t="inlineStr"/>
    </row>
    <row r="7" ht="18" customHeight="1">
      <c r="A7" s="45" t="inlineStr">
        <is>
          <t>SW-001</t>
        </is>
      </c>
      <c r="B7" s="25" t="inlineStr"/>
      <c r="C7" s="25" t="inlineStr"/>
      <c r="D7" s="25" t="inlineStr"/>
      <c r="E7" s="25" t="inlineStr"/>
      <c r="F7" s="25" t="inlineStr"/>
      <c r="G7" s="25" t="inlineStr"/>
      <c r="H7" s="24" t="inlineStr"/>
    </row>
    <row r="8" ht="18" customHeight="1">
      <c r="A8" s="45" t="inlineStr">
        <is>
          <t>SW-002</t>
        </is>
      </c>
      <c r="B8" s="25" t="inlineStr"/>
      <c r="C8" s="25" t="inlineStr"/>
      <c r="D8" s="25" t="inlineStr"/>
      <c r="E8" s="25" t="inlineStr"/>
      <c r="F8" s="25" t="inlineStr"/>
      <c r="G8" s="25" t="inlineStr"/>
      <c r="H8" s="24" t="inlineStr"/>
    </row>
    <row r="9" ht="18" customHeight="1">
      <c r="A9" s="45" t="inlineStr">
        <is>
          <t>SW-003</t>
        </is>
      </c>
      <c r="B9" s="25" t="inlineStr"/>
      <c r="C9" s="25" t="inlineStr"/>
      <c r="D9" s="25" t="inlineStr"/>
      <c r="E9" s="25" t="inlineStr"/>
      <c r="F9" s="25" t="inlineStr"/>
      <c r="G9" s="25" t="inlineStr"/>
      <c r="H9" s="24" t="inlineStr"/>
    </row>
    <row r="10" ht="18" customHeight="1">
      <c r="A10" s="45" t="inlineStr">
        <is>
          <t>SW-004</t>
        </is>
      </c>
      <c r="B10" s="25" t="inlineStr"/>
      <c r="C10" s="25" t="inlineStr"/>
      <c r="D10" s="25" t="inlineStr"/>
      <c r="E10" s="25" t="inlineStr"/>
      <c r="F10" s="25" t="inlineStr"/>
      <c r="G10" s="25" t="inlineStr"/>
      <c r="H10" s="24" t="inlineStr"/>
    </row>
    <row r="11" ht="18" customHeight="1">
      <c r="A11" s="45" t="inlineStr">
        <is>
          <t>SW-005</t>
        </is>
      </c>
      <c r="B11" s="25" t="inlineStr"/>
      <c r="C11" s="25" t="inlineStr"/>
      <c r="D11" s="25" t="inlineStr"/>
      <c r="E11" s="25" t="inlineStr"/>
      <c r="F11" s="25" t="inlineStr"/>
      <c r="G11" s="25" t="inlineStr"/>
      <c r="H11" s="24" t="inlineStr"/>
    </row>
    <row r="12" ht="18" customHeight="1">
      <c r="A12" s="45" t="inlineStr">
        <is>
          <t>SW-006</t>
        </is>
      </c>
      <c r="B12" s="25" t="inlineStr"/>
      <c r="C12" s="25" t="inlineStr"/>
      <c r="D12" s="25" t="inlineStr"/>
      <c r="E12" s="25" t="inlineStr"/>
      <c r="F12" s="25" t="inlineStr"/>
      <c r="G12" s="25" t="inlineStr"/>
      <c r="H12" s="24" t="inlineStr"/>
    </row>
    <row r="13" ht="18" customHeight="1">
      <c r="A13" s="45" t="inlineStr">
        <is>
          <t>SW-007</t>
        </is>
      </c>
      <c r="B13" s="25" t="inlineStr"/>
      <c r="C13" s="25" t="inlineStr"/>
      <c r="D13" s="25" t="inlineStr"/>
      <c r="E13" s="25" t="inlineStr"/>
      <c r="F13" s="25" t="inlineStr"/>
      <c r="G13" s="25" t="inlineStr"/>
      <c r="H13" s="24" t="inlineStr"/>
    </row>
    <row r="14" ht="18" customHeight="1">
      <c r="A14" s="45" t="inlineStr">
        <is>
          <t>SW-008</t>
        </is>
      </c>
      <c r="B14" s="25" t="inlineStr"/>
      <c r="C14" s="25" t="inlineStr"/>
      <c r="D14" s="25" t="inlineStr"/>
      <c r="E14" s="25" t="inlineStr"/>
      <c r="F14" s="25" t="inlineStr"/>
      <c r="G14" s="25" t="inlineStr"/>
      <c r="H14" s="24" t="inlineStr"/>
    </row>
    <row r="17" ht="20" customHeight="1">
      <c r="A17" s="6" t="inlineStr">
        <is>
          <t xml:space="preserve">  PoE DEVICE SUMMARY — PULLED FROM CAMERA SCHEDULE</t>
        </is>
      </c>
    </row>
    <row r="18" ht="18" customHeight="1">
      <c r="A18" s="42" t="inlineStr">
        <is>
          <t>Camera Count (PoE)</t>
        </is>
      </c>
      <c r="B18" s="42" t="inlineStr">
        <is>
          <t>Total PoE Draw (W)</t>
        </is>
      </c>
      <c r="C18" s="42" t="inlineStr">
        <is>
          <t>Recommended Min Budget (W)</t>
        </is>
      </c>
      <c r="D18" s="42" t="inlineStr">
        <is>
          <t>Largest Switch Budget Entered (W)</t>
        </is>
      </c>
      <c r="E18" s="42" t="inlineStr">
        <is>
          <t>Status</t>
        </is>
      </c>
      <c r="F18" s="42" t="inlineStr"/>
      <c r="G18" s="42" t="inlineStr"/>
      <c r="H18" s="42" t="inlineStr"/>
    </row>
    <row r="19" ht="22" customHeight="1">
      <c r="A19" s="46">
        <f>COUNTIF('Camera Schedule'!P9:'Camera Schedule'!P58,"PoE")+COUNTIF('Camera Schedule'!P9:'Camera Schedule'!P58,"PoE+")+COUNTIF('Camera Schedule'!P9:'Camera Schedule'!P58,"PoE++ (Class 6)")+COUNTIF('Camera Schedule'!P9:'Camera Schedule'!P58,"PoE++ (Class 8)")</f>
        <v/>
      </c>
      <c r="B19" s="46">
        <f>SUMIF('Camera Schedule'!P9:'Camera Schedule'!P58,"PoE*",'Camera Schedule'!R9:'Camera Schedule'!R58)</f>
        <v/>
      </c>
      <c r="C19" s="46">
        <f>ROUND((=SUMIF('Camera Schedule'!P9:'Camera Schedule'!P58,"PoE*",'Camera Schedule'!R9:'Camera Schedule'!R58))*1.2,0)</f>
        <v/>
      </c>
      <c r="D19" s="46">
        <f>IFERROR(MAX(D7:D14),0)</f>
        <v/>
      </c>
      <c r="E19" s="46">
        <f>IF((=IFERROR(MAX(D7:D14),0))&gt;=(=ROUND((=SUMIF('Camera Schedule'!P9:'Camera Schedule'!P58,"PoE*",'Camera Schedule'!R9:'Camera Schedule'!R58))*1.2,0)),"SUFFICIENT","REVIEW REQUIRED")</f>
        <v/>
      </c>
      <c r="F19" s="46" t="inlineStr"/>
      <c r="G19" s="46" t="inlineStr"/>
      <c r="H19" s="46" t="inlineStr"/>
    </row>
    <row r="22" ht="20" customHeight="1">
      <c r="A22" s="43" t="inlineStr">
        <is>
          <t xml:space="preserve">  PoE STANDARDS REFERENCE</t>
        </is>
      </c>
    </row>
    <row r="23" ht="18" customHeight="1">
      <c r="A23" s="47" t="inlineStr">
        <is>
          <t>Standard</t>
        </is>
      </c>
      <c r="B23" s="47" t="inlineStr">
        <is>
          <t>Max Power at PSE</t>
        </is>
      </c>
      <c r="C23" s="47" t="inlineStr">
        <is>
          <t>Typical Use</t>
        </is>
      </c>
      <c r="D23" s="47" t="inlineStr">
        <is>
          <t>Voltage</t>
        </is>
      </c>
      <c r="E23" s="47" t="inlineStr">
        <is>
          <t>Max Current</t>
        </is>
      </c>
      <c r="F23" s="47" t="inlineStr">
        <is>
          <t>Pairs Used</t>
        </is>
      </c>
      <c r="G23" s="47" t="inlineStr"/>
      <c r="H23" s="47" t="inlineStr"/>
    </row>
    <row r="24" ht="18" customHeight="1">
      <c r="A24" s="38" t="inlineStr">
        <is>
          <t>IEEE 802.3af (PoE)</t>
        </is>
      </c>
      <c r="B24" s="41" t="inlineStr">
        <is>
          <t>15.4 W</t>
        </is>
      </c>
      <c r="C24" s="41" t="inlineStr">
        <is>
          <t>2MP cameras, basic audio, intercoms</t>
        </is>
      </c>
      <c r="D24" s="41" t="inlineStr">
        <is>
          <t>44–57 V</t>
        </is>
      </c>
      <c r="E24" s="41" t="inlineStr">
        <is>
          <t>350 mA</t>
        </is>
      </c>
      <c r="F24" s="41" t="inlineStr">
        <is>
          <t>2 pair</t>
        </is>
      </c>
    </row>
    <row r="25" ht="18" customHeight="1">
      <c r="A25" s="34" t="inlineStr">
        <is>
          <t>IEEE 802.3at (PoE+)</t>
        </is>
      </c>
      <c r="B25" s="37" t="inlineStr">
        <is>
          <t>30 W</t>
        </is>
      </c>
      <c r="C25" s="37" t="inlineStr">
        <is>
          <t>4MP cameras, PTZ, IR, wireless AP</t>
        </is>
      </c>
      <c r="D25" s="37" t="inlineStr">
        <is>
          <t>50–57 V</t>
        </is>
      </c>
      <c r="E25" s="37" t="inlineStr">
        <is>
          <t>600 mA</t>
        </is>
      </c>
      <c r="F25" s="37" t="inlineStr">
        <is>
          <t>2 pair</t>
        </is>
      </c>
    </row>
    <row r="26" ht="18" customHeight="1">
      <c r="A26" s="38" t="inlineStr">
        <is>
          <t>IEEE 802.3bt Class 6 (PoE++)</t>
        </is>
      </c>
      <c r="B26" s="41" t="inlineStr">
        <is>
          <t>60 W</t>
        </is>
      </c>
      <c r="C26" s="41" t="inlineStr">
        <is>
          <t>High-power PTZ, pan+tilt+heater</t>
        </is>
      </c>
      <c r="D26" s="41" t="inlineStr">
        <is>
          <t>50–57 V</t>
        </is>
      </c>
      <c r="E26" s="41" t="inlineStr">
        <is>
          <t>960 mA</t>
        </is>
      </c>
      <c r="F26" s="41" t="inlineStr">
        <is>
          <t>4 pair</t>
        </is>
      </c>
    </row>
    <row r="27" ht="18" customHeight="1">
      <c r="A27" s="34" t="inlineStr">
        <is>
          <t>IEEE 802.3bt Class 8 (PoE++)</t>
        </is>
      </c>
      <c r="B27" s="37" t="inlineStr">
        <is>
          <t>90 W</t>
        </is>
      </c>
      <c r="C27" s="37" t="inlineStr">
        <is>
          <t>PTZ + heater + wiper</t>
        </is>
      </c>
      <c r="D27" s="37" t="inlineStr">
        <is>
          <t>50–57 V</t>
        </is>
      </c>
      <c r="E27" s="37" t="inlineStr">
        <is>
          <t>1440 mA</t>
        </is>
      </c>
      <c r="F27" s="37" t="inlineStr">
        <is>
          <t>4 pair</t>
        </is>
      </c>
    </row>
    <row r="30" ht="20" customHeight="1">
      <c r="A30" s="18" t="inlineStr">
        <is>
          <t xml:space="preserve">  DESIGN RULES</t>
        </is>
      </c>
    </row>
    <row r="31" ht="16" customHeight="1">
      <c r="A31" s="44" t="inlineStr">
        <is>
          <t>1. Switch PoE budget must be ≥ sum of all connected device maximum draw + 20% headroom.</t>
        </is>
      </c>
    </row>
    <row r="32" ht="16" customHeight="1">
      <c r="A32" s="44" t="inlineStr">
        <is>
          <t>2. Do not rely on per-port power alone — check the total switch PoE budget (pool), not just port spec.</t>
        </is>
      </c>
    </row>
    <row r="33" ht="16" customHeight="1">
      <c r="A33" s="44" t="inlineStr">
        <is>
          <t>3. Long cable runs (&gt;80m) cause voltage drop — use PoE extenders or mid-span injectors for distant cameras.</t>
        </is>
      </c>
    </row>
    <row r="34" ht="16" customHeight="1">
      <c r="A34" s="44" t="inlineStr">
        <is>
          <t>4. Outdoor cameras with IR heaters may draw up to 90W in winter — use Class 8 rated switches.</t>
        </is>
      </c>
    </row>
    <row r="35" ht="16" customHeight="1">
      <c r="A35" s="44" t="inlineStr">
        <is>
          <t>5. ANPR cameras with illuminators: verify total draw including illuminator on same PoE port.</t>
        </is>
      </c>
    </row>
    <row r="36" ht="16" customHeight="1">
      <c r="A36" s="44" t="inlineStr">
        <is>
          <t>6. Always document switch make/model and firmware version in the as-built record.</t>
        </is>
      </c>
    </row>
  </sheetData>
  <mergeCells count="12">
    <mergeCell ref="A3:H3"/>
    <mergeCell ref="A30:H30"/>
    <mergeCell ref="A34:H34"/>
    <mergeCell ref="A35:H35"/>
    <mergeCell ref="A32:H32"/>
    <mergeCell ref="A33:H33"/>
    <mergeCell ref="A36:H36"/>
    <mergeCell ref="A5:H5"/>
    <mergeCell ref="A1:H2"/>
    <mergeCell ref="A31:H31"/>
    <mergeCell ref="A22:H22"/>
    <mergeCell ref="A17:H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27A48"/>
    <outlinePr summaryBelow="1" summaryRight="1"/>
    <pageSetUpPr/>
  </sheetPr>
  <dimension ref="A1:H3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9" customWidth="1" min="2" max="2"/>
    <col width="30" customWidth="1" min="3" max="3"/>
    <col width="16" customWidth="1" min="4" max="4"/>
    <col width="14" customWidth="1" min="5" max="5"/>
    <col width="20" customWidth="1" min="6" max="6"/>
    <col width="20" customWidth="1" min="7" max="7"/>
    <col width="24" customWidth="1" min="8" max="8"/>
  </cols>
  <sheetData>
    <row r="1" ht="26" customHeight="1">
      <c r="A1" s="1" t="inlineStr">
        <is>
          <t>COPELAND GROUP SERVICES — BILL OF MATERIALS</t>
        </is>
      </c>
    </row>
    <row r="2" ht="8" customHeight="1"/>
    <row r="3" ht="16" customHeight="1">
      <c r="A3" s="2" t="inlineStr">
        <is>
          <t>Camera counts auto-calculated from Camera Schedule  |  Prices and supplier entered manually</t>
        </is>
      </c>
    </row>
    <row r="5" ht="20" customHeight="1">
      <c r="A5" s="18" t="inlineStr">
        <is>
          <t xml:space="preserve">  CAMERA TYPE COUNT — AUTO FROM CAMERA SCHEDULE</t>
        </is>
      </c>
    </row>
    <row r="6" ht="18" customHeight="1">
      <c r="A6" s="22" t="inlineStr">
        <is>
          <t>Camera Type</t>
        </is>
      </c>
      <c r="B6" s="22" t="inlineStr">
        <is>
          <t>Count</t>
        </is>
      </c>
      <c r="C6" s="22" t="inlineStr">
        <is>
          <t>Make / Model</t>
        </is>
      </c>
      <c r="D6" s="22" t="inlineStr">
        <is>
          <t>Unit Price (£)</t>
        </is>
      </c>
      <c r="E6" s="22" t="inlineStr">
        <is>
          <t>Total (£)</t>
        </is>
      </c>
      <c r="F6" s="22" t="inlineStr">
        <is>
          <t>Supplier</t>
        </is>
      </c>
      <c r="G6" s="22" t="inlineStr">
        <is>
          <t>Part No.</t>
        </is>
      </c>
      <c r="H6" s="22" t="inlineStr">
        <is>
          <t>Notes</t>
        </is>
      </c>
    </row>
    <row r="7" ht="16" customHeight="1">
      <c r="A7" s="24" t="inlineStr">
        <is>
          <t>Fixed Dome</t>
        </is>
      </c>
      <c r="B7" s="48">
        <f>COUNTIF('Camera Schedule'!C9:'Camera Schedule'!C58,"Fixed Dome")</f>
        <v/>
      </c>
      <c r="C7" s="24" t="inlineStr"/>
      <c r="D7" s="24" t="inlineStr"/>
      <c r="E7" s="24">
        <f>IF(B7=0,"",B7*D7)</f>
        <v/>
      </c>
      <c r="F7" s="24" t="inlineStr"/>
      <c r="G7" s="24" t="inlineStr"/>
      <c r="H7" s="24" t="inlineStr"/>
    </row>
    <row r="8" ht="16" customHeight="1">
      <c r="A8" s="8" t="inlineStr">
        <is>
          <t>Vandal Dome</t>
        </is>
      </c>
      <c r="B8" s="48">
        <f>COUNTIF('Camera Schedule'!C9:'Camera Schedule'!C58,"Vandal Dome")</f>
        <v/>
      </c>
      <c r="C8" s="8" t="inlineStr"/>
      <c r="D8" s="8" t="inlineStr"/>
      <c r="E8" s="8">
        <f>IF(B8=0,"",B8*D8)</f>
        <v/>
      </c>
      <c r="F8" s="8" t="inlineStr"/>
      <c r="G8" s="8" t="inlineStr"/>
      <c r="H8" s="8" t="inlineStr"/>
    </row>
    <row r="9" ht="16" customHeight="1">
      <c r="A9" s="24" t="inlineStr">
        <is>
          <t>Mini Dome</t>
        </is>
      </c>
      <c r="B9" s="48">
        <f>COUNTIF('Camera Schedule'!C9:'Camera Schedule'!C58,"Mini Dome")</f>
        <v/>
      </c>
      <c r="C9" s="24" t="inlineStr"/>
      <c r="D9" s="24" t="inlineStr"/>
      <c r="E9" s="24">
        <f>IF(B9=0,"",B9*D9)</f>
        <v/>
      </c>
      <c r="F9" s="24" t="inlineStr"/>
      <c r="G9" s="24" t="inlineStr"/>
      <c r="H9" s="24" t="inlineStr"/>
    </row>
    <row r="10" ht="16" customHeight="1">
      <c r="A10" s="8" t="inlineStr">
        <is>
          <t>Bullet</t>
        </is>
      </c>
      <c r="B10" s="48">
        <f>COUNTIF('Camera Schedule'!C9:'Camera Schedule'!C58,"Bullet")</f>
        <v/>
      </c>
      <c r="C10" s="8" t="inlineStr"/>
      <c r="D10" s="8" t="inlineStr"/>
      <c r="E10" s="8">
        <f>IF(B10=0,"",B10*D10)</f>
        <v/>
      </c>
      <c r="F10" s="8" t="inlineStr"/>
      <c r="G10" s="8" t="inlineStr"/>
      <c r="H10" s="8" t="inlineStr"/>
    </row>
    <row r="11" ht="16" customHeight="1">
      <c r="A11" s="24" t="inlineStr">
        <is>
          <t>Turret</t>
        </is>
      </c>
      <c r="B11" s="48">
        <f>COUNTIF('Camera Schedule'!C9:'Camera Schedule'!C58,"Turret")</f>
        <v/>
      </c>
      <c r="C11" s="24" t="inlineStr"/>
      <c r="D11" s="24" t="inlineStr"/>
      <c r="E11" s="24">
        <f>IF(B11=0,"",B11*D11)</f>
        <v/>
      </c>
      <c r="F11" s="24" t="inlineStr"/>
      <c r="G11" s="24" t="inlineStr"/>
      <c r="H11" s="24" t="inlineStr"/>
    </row>
    <row r="12" ht="16" customHeight="1">
      <c r="A12" s="8" t="inlineStr">
        <is>
          <t>PTZ</t>
        </is>
      </c>
      <c r="B12" s="48">
        <f>COUNTIF('Camera Schedule'!C9:'Camera Schedule'!C58,"PTZ")</f>
        <v/>
      </c>
      <c r="C12" s="8" t="inlineStr"/>
      <c r="D12" s="8" t="inlineStr"/>
      <c r="E12" s="8">
        <f>IF(B12=0,"",B12*D12)</f>
        <v/>
      </c>
      <c r="F12" s="8" t="inlineStr"/>
      <c r="G12" s="8" t="inlineStr"/>
      <c r="H12" s="8" t="inlineStr"/>
    </row>
    <row r="13" ht="16" customHeight="1">
      <c r="A13" s="24" t="inlineStr">
        <is>
          <t>ANPR / LPR</t>
        </is>
      </c>
      <c r="B13" s="48">
        <f>COUNTIF('Camera Schedule'!C9:'Camera Schedule'!C58,"ANPR / LPR")</f>
        <v/>
      </c>
      <c r="C13" s="24" t="inlineStr"/>
      <c r="D13" s="24" t="inlineStr"/>
      <c r="E13" s="24">
        <f>IF(B13=0,"",B13*D13)</f>
        <v/>
      </c>
      <c r="F13" s="24" t="inlineStr"/>
      <c r="G13" s="24" t="inlineStr"/>
      <c r="H13" s="24" t="inlineStr"/>
    </row>
    <row r="14" ht="16" customHeight="1">
      <c r="A14" s="8" t="inlineStr">
        <is>
          <t>Thermal</t>
        </is>
      </c>
      <c r="B14" s="48">
        <f>COUNTIF('Camera Schedule'!C9:'Camera Schedule'!C58,"Thermal")</f>
        <v/>
      </c>
      <c r="C14" s="8" t="inlineStr"/>
      <c r="D14" s="8" t="inlineStr"/>
      <c r="E14" s="8">
        <f>IF(B14=0,"",B14*D14)</f>
        <v/>
      </c>
      <c r="F14" s="8" t="inlineStr"/>
      <c r="G14" s="8" t="inlineStr"/>
      <c r="H14" s="8" t="inlineStr"/>
    </row>
    <row r="15" ht="16" customHeight="1">
      <c r="A15" s="24" t="inlineStr">
        <is>
          <t>Multi-Sensor</t>
        </is>
      </c>
      <c r="B15" s="48">
        <f>COUNTIF('Camera Schedule'!C9:'Camera Schedule'!C58,"Multi-Sensor")</f>
        <v/>
      </c>
      <c r="C15" s="24" t="inlineStr"/>
      <c r="D15" s="24" t="inlineStr"/>
      <c r="E15" s="24">
        <f>IF(B15=0,"",B15*D15)</f>
        <v/>
      </c>
      <c r="F15" s="24" t="inlineStr"/>
      <c r="G15" s="24" t="inlineStr"/>
      <c r="H15" s="24" t="inlineStr"/>
    </row>
    <row r="16" ht="16" customHeight="1">
      <c r="A16" s="8" t="inlineStr">
        <is>
          <t>Body-Worn</t>
        </is>
      </c>
      <c r="B16" s="48">
        <f>COUNTIF('Camera Schedule'!C9:'Camera Schedule'!C58,"Body-Worn")</f>
        <v/>
      </c>
      <c r="C16" s="8" t="inlineStr"/>
      <c r="D16" s="8" t="inlineStr"/>
      <c r="E16" s="8">
        <f>IF(B16=0,"",B16*D16)</f>
        <v/>
      </c>
      <c r="F16" s="8" t="inlineStr"/>
      <c r="G16" s="8" t="inlineStr"/>
      <c r="H16" s="8" t="inlineStr"/>
    </row>
    <row r="17" ht="16" customHeight="1">
      <c r="A17" s="24" t="inlineStr">
        <is>
          <t>Covert / Pinhole</t>
        </is>
      </c>
      <c r="B17" s="48">
        <f>COUNTIF('Camera Schedule'!C9:'Camera Schedule'!C58,"Covert / Pinhole")</f>
        <v/>
      </c>
      <c r="C17" s="24" t="inlineStr"/>
      <c r="D17" s="24" t="inlineStr"/>
      <c r="E17" s="24">
        <f>IF(B17=0,"",B17*D17)</f>
        <v/>
      </c>
      <c r="F17" s="24" t="inlineStr"/>
      <c r="G17" s="24" t="inlineStr"/>
      <c r="H17" s="24" t="inlineStr"/>
    </row>
    <row r="18" ht="16" customHeight="1">
      <c r="A18" s="8" t="inlineStr">
        <is>
          <t>Fisheye 360°</t>
        </is>
      </c>
      <c r="B18" s="48">
        <f>COUNTIF('Camera Schedule'!C9:'Camera Schedule'!C58,"Fisheye 360°")</f>
        <v/>
      </c>
      <c r="C18" s="8" t="inlineStr"/>
      <c r="D18" s="8" t="inlineStr"/>
      <c r="E18" s="8">
        <f>IF(B18=0,"",B18*D18)</f>
        <v/>
      </c>
      <c r="F18" s="8" t="inlineStr"/>
      <c r="G18" s="8" t="inlineStr"/>
      <c r="H18" s="8" t="inlineStr"/>
    </row>
    <row r="19" ht="16" customHeight="1">
      <c r="A19" s="24" t="inlineStr">
        <is>
          <t>Box</t>
        </is>
      </c>
      <c r="B19" s="48">
        <f>COUNTIF('Camera Schedule'!C9:'Camera Schedule'!C58,"Box")</f>
        <v/>
      </c>
      <c r="C19" s="24" t="inlineStr"/>
      <c r="D19" s="24" t="inlineStr"/>
      <c r="E19" s="24">
        <f>IF(B19=0,"",B19*D19)</f>
        <v/>
      </c>
      <c r="F19" s="24" t="inlineStr"/>
      <c r="G19" s="24" t="inlineStr"/>
      <c r="H19" s="24" t="inlineStr"/>
    </row>
    <row r="20" ht="22" customHeight="1">
      <c r="A20" s="49" t="inlineStr">
        <is>
          <t>TOTAL CAMERAS</t>
        </is>
      </c>
      <c r="D20" s="50">
        <f>SUM(E7:E19)</f>
        <v/>
      </c>
    </row>
    <row r="22" ht="20" customHeight="1">
      <c r="A22" s="6" t="inlineStr">
        <is>
          <t xml:space="preserve">  ADDITIONAL EQUIPMENT</t>
        </is>
      </c>
    </row>
    <row r="23" ht="18" customHeight="1">
      <c r="A23" s="42" t="inlineStr">
        <is>
          <t>Item Description</t>
        </is>
      </c>
      <c r="B23" s="42" t="inlineStr">
        <is>
          <t>Qty</t>
        </is>
      </c>
      <c r="C23" s="42" t="inlineStr">
        <is>
          <t>Make / Model</t>
        </is>
      </c>
      <c r="D23" s="42" t="inlineStr">
        <is>
          <t>Unit Price (£)</t>
        </is>
      </c>
      <c r="E23" s="42" t="inlineStr">
        <is>
          <t>Total (£)</t>
        </is>
      </c>
      <c r="F23" s="42" t="inlineStr">
        <is>
          <t>Supplier</t>
        </is>
      </c>
      <c r="G23" s="42" t="inlineStr">
        <is>
          <t>Part No.</t>
        </is>
      </c>
      <c r="H23" s="42" t="inlineStr">
        <is>
          <t>Notes</t>
        </is>
      </c>
    </row>
    <row r="24" ht="16" customHeight="1">
      <c r="A24" s="8" t="inlineStr">
        <is>
          <t>Network Video Recorder (NVR)</t>
        </is>
      </c>
      <c r="B24" s="27" t="inlineStr"/>
      <c r="C24" s="8" t="inlineStr"/>
      <c r="D24" s="27" t="inlineStr"/>
      <c r="E24" s="8">
        <f>IF(B24="","",IF(D24="","",B24*D24))</f>
        <v/>
      </c>
      <c r="F24" s="8" t="inlineStr"/>
      <c r="G24" s="8" t="inlineStr"/>
      <c r="H24" s="8" t="inlineStr"/>
    </row>
    <row r="25" ht="16" customHeight="1">
      <c r="A25" s="24" t="inlineStr">
        <is>
          <t>PoE Network Switch</t>
        </is>
      </c>
      <c r="B25" s="27" t="inlineStr"/>
      <c r="C25" s="24" t="inlineStr"/>
      <c r="D25" s="27" t="inlineStr"/>
      <c r="E25" s="24">
        <f>IF(B25="","",IF(D25="","",B25*D25))</f>
        <v/>
      </c>
      <c r="F25" s="24" t="inlineStr"/>
      <c r="G25" s="24" t="inlineStr"/>
      <c r="H25" s="24" t="inlineStr"/>
    </row>
    <row r="26" ht="16" customHeight="1">
      <c r="A26" s="8" t="inlineStr">
        <is>
          <t>Patch Panel</t>
        </is>
      </c>
      <c r="B26" s="27" t="inlineStr"/>
      <c r="C26" s="8" t="inlineStr"/>
      <c r="D26" s="27" t="inlineStr"/>
      <c r="E26" s="8">
        <f>IF(B26="","",IF(D26="","",B26*D26))</f>
        <v/>
      </c>
      <c r="F26" s="8" t="inlineStr"/>
      <c r="G26" s="8" t="inlineStr"/>
      <c r="H26" s="8" t="inlineStr"/>
    </row>
    <row r="27" ht="16" customHeight="1">
      <c r="A27" s="24" t="inlineStr">
        <is>
          <t>19" Rack / Cabinet</t>
        </is>
      </c>
      <c r="B27" s="27" t="inlineStr"/>
      <c r="C27" s="24" t="inlineStr"/>
      <c r="D27" s="27" t="inlineStr"/>
      <c r="E27" s="24">
        <f>IF(B27="","",IF(D27="","",B27*D27))</f>
        <v/>
      </c>
      <c r="F27" s="24" t="inlineStr"/>
      <c r="G27" s="24" t="inlineStr"/>
      <c r="H27" s="24" t="inlineStr"/>
    </row>
    <row r="28" ht="16" customHeight="1">
      <c r="A28" s="8" t="inlineStr">
        <is>
          <t>UPS — Uninterruptible Power Supply</t>
        </is>
      </c>
      <c r="B28" s="27" t="inlineStr"/>
      <c r="C28" s="8" t="inlineStr"/>
      <c r="D28" s="27" t="inlineStr"/>
      <c r="E28" s="8">
        <f>IF(B28="","",IF(D28="","",B28*D28))</f>
        <v/>
      </c>
      <c r="F28" s="8" t="inlineStr"/>
      <c r="G28" s="8" t="inlineStr"/>
      <c r="H28" s="8" t="inlineStr"/>
    </row>
    <row r="29" ht="16" customHeight="1">
      <c r="A29" s="24" t="inlineStr">
        <is>
          <t>Fibre Media Converter (pair)</t>
        </is>
      </c>
      <c r="B29" s="27" t="inlineStr"/>
      <c r="C29" s="24" t="inlineStr"/>
      <c r="D29" s="27" t="inlineStr"/>
      <c r="E29" s="24">
        <f>IF(B29="","",IF(D29="","",B29*D29))</f>
        <v/>
      </c>
      <c r="F29" s="24" t="inlineStr"/>
      <c r="G29" s="24" t="inlineStr"/>
      <c r="H29" s="24" t="inlineStr"/>
    </row>
    <row r="30" ht="16" customHeight="1">
      <c r="A30" s="8" t="inlineStr">
        <is>
          <t>HDMI / IP Monitor</t>
        </is>
      </c>
      <c r="B30" s="27" t="inlineStr"/>
      <c r="C30" s="8" t="inlineStr"/>
      <c r="D30" s="27" t="inlineStr"/>
      <c r="E30" s="8">
        <f>IF(B30="","",IF(D30="","",B30*D30))</f>
        <v/>
      </c>
      <c r="F30" s="8" t="inlineStr"/>
      <c r="G30" s="8" t="inlineStr"/>
      <c r="H30" s="8" t="inlineStr"/>
    </row>
    <row r="31" ht="16" customHeight="1">
      <c r="A31" s="24" t="inlineStr">
        <is>
          <t>PTZ Keyboard Controller</t>
        </is>
      </c>
      <c r="B31" s="27" t="inlineStr"/>
      <c r="C31" s="24" t="inlineStr"/>
      <c r="D31" s="27" t="inlineStr"/>
      <c r="E31" s="24">
        <f>IF(B31="","",IF(D31="","",B31*D31))</f>
        <v/>
      </c>
      <c r="F31" s="24" t="inlineStr"/>
      <c r="G31" s="24" t="inlineStr"/>
      <c r="H31" s="24" t="inlineStr"/>
    </row>
    <row r="32" ht="16" customHeight="1">
      <c r="A32" s="8" t="inlineStr">
        <is>
          <t>Cable — Cat6 UTP (m)</t>
        </is>
      </c>
      <c r="B32" s="27" t="inlineStr"/>
      <c r="C32" s="8" t="inlineStr"/>
      <c r="D32" s="27" t="inlineStr"/>
      <c r="E32" s="8">
        <f>IF(B32="","",IF(D32="","",B32*D32))</f>
        <v/>
      </c>
      <c r="F32" s="8" t="inlineStr"/>
      <c r="G32" s="8" t="inlineStr"/>
      <c r="H32" s="8" t="inlineStr"/>
    </row>
    <row r="33" ht="16" customHeight="1">
      <c r="A33" s="24" t="inlineStr">
        <is>
          <t>Cable — Fibre OS2 (m)</t>
        </is>
      </c>
      <c r="B33" s="27" t="inlineStr"/>
      <c r="C33" s="24" t="inlineStr"/>
      <c r="D33" s="27" t="inlineStr"/>
      <c r="E33" s="24">
        <f>IF(B33="","",IF(D33="","",B33*D33))</f>
        <v/>
      </c>
      <c r="F33" s="24" t="inlineStr"/>
      <c r="G33" s="24" t="inlineStr"/>
      <c r="H33" s="24" t="inlineStr"/>
    </row>
    <row r="34" ht="16" customHeight="1">
      <c r="A34" s="8" t="inlineStr">
        <is>
          <t>Cable Trunking / Conduit (m)</t>
        </is>
      </c>
      <c r="B34" s="27" t="inlineStr"/>
      <c r="C34" s="8" t="inlineStr"/>
      <c r="D34" s="27" t="inlineStr"/>
      <c r="E34" s="8">
        <f>IF(B34="","",IF(D34="","",B34*D34))</f>
        <v/>
      </c>
      <c r="F34" s="8" t="inlineStr"/>
      <c r="G34" s="8" t="inlineStr"/>
      <c r="H34" s="8" t="inlineStr"/>
    </row>
    <row r="35" ht="16" customHeight="1">
      <c r="A35" s="24" t="inlineStr">
        <is>
          <t>Junction Boxes</t>
        </is>
      </c>
      <c r="B35" s="27" t="inlineStr"/>
      <c r="C35" s="24" t="inlineStr"/>
      <c r="D35" s="27" t="inlineStr"/>
      <c r="E35" s="24">
        <f>IF(B35="","",IF(D35="","",B35*D35))</f>
        <v/>
      </c>
      <c r="F35" s="24" t="inlineStr"/>
      <c r="G35" s="24" t="inlineStr"/>
      <c r="H35" s="24" t="inlineStr"/>
    </row>
    <row r="36" ht="16" customHeight="1">
      <c r="A36" s="8" t="inlineStr">
        <is>
          <t>Fixings &amp; Sundries (allow)</t>
        </is>
      </c>
      <c r="B36" s="27" t="inlineStr"/>
      <c r="C36" s="8" t="inlineStr"/>
      <c r="D36" s="27" t="inlineStr"/>
      <c r="E36" s="8">
        <f>IF(B36="","",IF(D36="","",B36*D36))</f>
        <v/>
      </c>
      <c r="F36" s="8" t="inlineStr"/>
      <c r="G36" s="8" t="inlineStr"/>
      <c r="H36" s="8" t="inlineStr"/>
    </row>
    <row r="37" ht="24" customHeight="1">
      <c r="A37" s="51" t="inlineStr">
        <is>
          <t>PROJECT GRAND TOTAL (EX VAT)</t>
        </is>
      </c>
      <c r="D37" s="52">
        <f>IFERROR(SUM(E7:E36),0)</f>
        <v/>
      </c>
    </row>
  </sheetData>
  <mergeCells count="7">
    <mergeCell ref="A3:H3"/>
    <mergeCell ref="A37:C37"/>
    <mergeCell ref="D37:E37"/>
    <mergeCell ref="A5:H5"/>
    <mergeCell ref="A1:H2"/>
    <mergeCell ref="A20:C20"/>
    <mergeCell ref="A22:H2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27A48"/>
    <outlinePr summaryBelow="1" summaryRight="1"/>
    <pageSetUpPr/>
  </sheetPr>
  <dimension ref="A1:F4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8" customWidth="1" min="3" max="3"/>
    <col width="40" customWidth="1" min="4" max="4"/>
    <col width="8" customWidth="1" min="5" max="5"/>
    <col width="8" customWidth="1" min="6" max="6"/>
  </cols>
  <sheetData>
    <row r="1" ht="26" customHeight="1">
      <c r="A1" s="1" t="inlineStr">
        <is>
          <t>COPELAND GROUP SERVICES — DESIGN VALIDATION</t>
        </is>
      </c>
    </row>
    <row r="2" ht="8" customHeight="1"/>
    <row r="3" ht="16" customHeight="1">
      <c r="A3" s="2" t="inlineStr">
        <is>
          <t>Pre-issue checklist  |  Complete before issuing any drawing for review or construction</t>
        </is>
      </c>
    </row>
    <row r="5" ht="20" customHeight="1">
      <c r="A5" s="6" t="inlineStr">
        <is>
          <t xml:space="preserve">    CCTV DESIGN — PRE-ISSUE CHECKS  (DS-001 / BS EN 62676-4)</t>
        </is>
      </c>
    </row>
    <row r="6" ht="18" customHeight="1">
      <c r="A6" s="47" t="inlineStr">
        <is>
          <t>Ref</t>
        </is>
      </c>
      <c r="B6" s="47" t="inlineStr">
        <is>
          <t>Check</t>
        </is>
      </c>
      <c r="C6" s="47" t="inlineStr">
        <is>
          <t>Pass/Fail/N/A</t>
        </is>
      </c>
      <c r="D6" s="47" t="inlineStr">
        <is>
          <t>Notes</t>
        </is>
      </c>
      <c r="E6" s="47" t="inlineStr"/>
      <c r="F6" s="47" t="inlineStr"/>
    </row>
    <row r="7" ht="20" customHeight="1">
      <c r="A7" s="53" t="inlineStr">
        <is>
          <t>Coverage</t>
        </is>
      </c>
      <c r="B7" s="54" t="inlineStr">
        <is>
          <t>All critical areas identified in survey have camera coverage</t>
        </is>
      </c>
      <c r="C7" s="27" t="inlineStr"/>
      <c r="D7" s="54" t="inlineStr"/>
      <c r="E7" s="37" t="inlineStr"/>
      <c r="F7" s="37" t="inlineStr"/>
    </row>
    <row r="8" ht="20" customHeight="1">
      <c r="A8" s="55" t="inlineStr">
        <is>
          <t>Resolution</t>
        </is>
      </c>
      <c r="B8" s="56" t="inlineStr">
        <is>
          <t>Camera resolution appropriate for identification vs overview requirement</t>
        </is>
      </c>
      <c r="C8" s="27" t="inlineStr"/>
      <c r="D8" s="56" t="inlineStr"/>
      <c r="E8" s="41" t="inlineStr"/>
      <c r="F8" s="41" t="inlineStr"/>
    </row>
    <row r="9" ht="20" customHeight="1">
      <c r="A9" s="53" t="inlineStr">
        <is>
          <t>IR</t>
        </is>
      </c>
      <c r="B9" s="54" t="inlineStr">
        <is>
          <t>IR capability confirmed where lighting is inadequate (lux level checked)</t>
        </is>
      </c>
      <c r="C9" s="27" t="inlineStr"/>
      <c r="D9" s="54" t="inlineStr"/>
      <c r="E9" s="37" t="inlineStr"/>
      <c r="F9" s="37" t="inlineStr"/>
    </row>
    <row r="10" ht="20" customHeight="1">
      <c r="A10" s="55" t="inlineStr">
        <is>
          <t>Storage</t>
        </is>
      </c>
      <c r="B10" s="56" t="inlineStr">
        <is>
          <t>Retention period confirmed with client — calculation on Storage Calculator sheet</t>
        </is>
      </c>
      <c r="C10" s="27" t="inlineStr"/>
      <c r="D10" s="56" t="inlineStr"/>
      <c r="E10" s="41" t="inlineStr"/>
      <c r="F10" s="41" t="inlineStr"/>
    </row>
    <row r="11" ht="20" customHeight="1">
      <c r="A11" s="53" t="inlineStr">
        <is>
          <t>Network</t>
        </is>
      </c>
      <c r="B11" s="54" t="inlineStr">
        <is>
          <t>Network infrastructure capacity confirmed — switch PoE budget on PoE Budget sheet</t>
        </is>
      </c>
      <c r="C11" s="27" t="inlineStr"/>
      <c r="D11" s="54" t="inlineStr"/>
      <c r="E11" s="37" t="inlineStr"/>
      <c r="F11" s="37" t="inlineStr"/>
    </row>
    <row r="12" ht="20" customHeight="1">
      <c r="A12" s="55" t="inlineStr">
        <is>
          <t>GDPR</t>
        </is>
      </c>
      <c r="B12" s="56" t="inlineStr">
        <is>
          <t>CCTV signage specified — data retention does not exceed identified need</t>
        </is>
      </c>
      <c r="C12" s="27" t="inlineStr"/>
      <c r="D12" s="56" t="inlineStr"/>
      <c r="E12" s="41" t="inlineStr"/>
      <c r="F12" s="41" t="inlineStr"/>
    </row>
    <row r="13" ht="20" customHeight="1">
      <c r="A13" s="53" t="inlineStr">
        <is>
          <t>Cybersecurity</t>
        </is>
      </c>
      <c r="B13" s="54" t="inlineStr">
        <is>
          <t>Network segregation noted — default password policy referenced in spec</t>
        </is>
      </c>
      <c r="C13" s="27" t="inlineStr"/>
      <c r="D13" s="54" t="inlineStr"/>
      <c r="E13" s="37" t="inlineStr"/>
      <c r="F13" s="37" t="inlineStr"/>
    </row>
    <row r="14" ht="20" customHeight="1">
      <c r="A14" s="55" t="inlineStr">
        <is>
          <t>Numbering</t>
        </is>
      </c>
      <c r="B14" s="56" t="inlineStr">
        <is>
          <t>All cameras numbered sequentially CAM-001… on drawing and schedule</t>
        </is>
      </c>
      <c r="C14" s="27" t="inlineStr"/>
      <c r="D14" s="56" t="inlineStr"/>
      <c r="E14" s="41" t="inlineStr"/>
      <c r="F14" s="41" t="inlineStr"/>
    </row>
    <row r="15" ht="20" customHeight="1">
      <c r="A15" s="53" t="inlineStr">
        <is>
          <t>Schedule</t>
        </is>
      </c>
      <c r="B15" s="54" t="inlineStr">
        <is>
          <t>Camera schedule complete — all fields populated, no blanks in mandatory columns</t>
        </is>
      </c>
      <c r="C15" s="27" t="inlineStr"/>
      <c r="D15" s="54" t="inlineStr"/>
      <c r="E15" s="37" t="inlineStr"/>
      <c r="F15" s="37" t="inlineStr"/>
    </row>
    <row r="16" ht="20" customHeight="1">
      <c r="A16" s="55" t="inlineStr">
        <is>
          <t>Drawing</t>
        </is>
      </c>
      <c r="B16" s="56" t="inlineStr">
        <is>
          <t>Drawing number follows CGS format — title block complete</t>
        </is>
      </c>
      <c r="C16" s="27" t="inlineStr"/>
      <c r="D16" s="56" t="inlineStr"/>
      <c r="E16" s="41" t="inlineStr"/>
      <c r="F16" s="41" t="inlineStr"/>
    </row>
    <row r="17" ht="20" customHeight="1">
      <c r="A17" s="53" t="inlineStr">
        <is>
          <t>Revision</t>
        </is>
      </c>
      <c r="B17" s="54" t="inlineStr">
        <is>
          <t>Revision number set to P1 (preliminary) or A (for review) as appropriate</t>
        </is>
      </c>
      <c r="C17" s="27" t="inlineStr"/>
      <c r="D17" s="54" t="inlineStr"/>
      <c r="E17" s="37" t="inlineStr"/>
      <c r="F17" s="37" t="inlineStr"/>
    </row>
    <row r="18" ht="20" customHeight="1">
      <c r="A18" s="55" t="inlineStr">
        <is>
          <t>Notes</t>
        </is>
      </c>
      <c r="B18" s="56" t="inlineStr">
        <is>
          <t>General notes block on drawing — BS EN 62676-4 referenced</t>
        </is>
      </c>
      <c r="C18" s="27" t="inlineStr"/>
      <c r="D18" s="56" t="inlineStr"/>
      <c r="E18" s="41" t="inlineStr"/>
      <c r="F18" s="41" t="inlineStr"/>
    </row>
    <row r="19" ht="20" customHeight="1">
      <c r="A19" s="53" t="inlineStr">
        <is>
          <t>Legend</t>
        </is>
      </c>
      <c r="B19" s="54" t="inlineStr">
        <is>
          <t>Legend on drawing — all symbols used are listed</t>
        </is>
      </c>
      <c r="C19" s="27" t="inlineStr"/>
      <c r="D19" s="54" t="inlineStr"/>
      <c r="E19" s="37" t="inlineStr"/>
      <c r="F19" s="37" t="inlineStr"/>
    </row>
    <row r="21" ht="20" customHeight="1">
      <c r="A21" s="57" t="inlineStr">
        <is>
          <t xml:space="preserve">    INTRUDER ALARM — PRE-ISSUE CHECKS  (PD 6662 / BS EN 50131)</t>
        </is>
      </c>
    </row>
    <row r="22" ht="18" customHeight="1">
      <c r="A22" s="47" t="inlineStr">
        <is>
          <t>Ref</t>
        </is>
      </c>
      <c r="B22" s="47" t="inlineStr">
        <is>
          <t>Check</t>
        </is>
      </c>
      <c r="C22" s="47" t="inlineStr">
        <is>
          <t>Pass/Fail/N/A</t>
        </is>
      </c>
      <c r="D22" s="47" t="inlineStr">
        <is>
          <t>Notes</t>
        </is>
      </c>
      <c r="E22" s="47" t="inlineStr"/>
      <c r="F22" s="47" t="inlineStr"/>
    </row>
    <row r="23" ht="20" customHeight="1">
      <c r="A23" s="53" t="inlineStr">
        <is>
          <t>Grade</t>
        </is>
      </c>
      <c r="B23" s="54" t="inlineStr">
        <is>
          <t>Grade 2 or Grade 3 confirmed against risk assessment</t>
        </is>
      </c>
      <c r="C23" s="27" t="inlineStr"/>
      <c r="D23" s="54" t="inlineStr"/>
      <c r="E23" s="37" t="inlineStr"/>
      <c r="F23" s="37" t="inlineStr"/>
    </row>
    <row r="24" ht="20" customHeight="1">
      <c r="A24" s="55" t="inlineStr">
        <is>
          <t>Detection</t>
        </is>
      </c>
      <c r="B24" s="56" t="inlineStr">
        <is>
          <t>All entry points and vulnerable areas have detection</t>
        </is>
      </c>
      <c r="C24" s="27" t="inlineStr"/>
      <c r="D24" s="56" t="inlineStr"/>
      <c r="E24" s="41" t="inlineStr"/>
      <c r="F24" s="41" t="inlineStr"/>
    </row>
    <row r="25" ht="20" customHeight="1">
      <c r="A25" s="53" t="inlineStr">
        <is>
          <t>Signalling</t>
        </is>
      </c>
      <c r="B25" s="54" t="inlineStr">
        <is>
          <t>Dual-path signalling specified for Grade 3</t>
        </is>
      </c>
      <c r="C25" s="27" t="inlineStr"/>
      <c r="D25" s="54" t="inlineStr"/>
      <c r="E25" s="37" t="inlineStr"/>
      <c r="F25" s="37" t="inlineStr"/>
    </row>
    <row r="26" ht="20" customHeight="1">
      <c r="A26" s="55" t="inlineStr">
        <is>
          <t>ARC</t>
        </is>
      </c>
      <c r="B26" s="56" t="inlineStr">
        <is>
          <t>ARC category and response confirmed</t>
        </is>
      </c>
      <c r="C26" s="27" t="inlineStr"/>
      <c r="D26" s="56" t="inlineStr"/>
      <c r="E26" s="41" t="inlineStr"/>
      <c r="F26" s="41" t="inlineStr"/>
    </row>
    <row r="27" ht="20" customHeight="1">
      <c r="A27" s="53" t="inlineStr">
        <is>
          <t>Bell box</t>
        </is>
      </c>
      <c r="B27" s="54" t="inlineStr">
        <is>
          <t>External sounder positions drawn and IP/IK rated</t>
        </is>
      </c>
      <c r="C27" s="27" t="inlineStr"/>
      <c r="D27" s="54" t="inlineStr"/>
      <c r="E27" s="37" t="inlineStr"/>
      <c r="F27" s="37" t="inlineStr"/>
    </row>
    <row r="28" ht="20" customHeight="1">
      <c r="A28" s="55" t="inlineStr">
        <is>
          <t>Panel</t>
        </is>
      </c>
      <c r="B28" s="56" t="inlineStr">
        <is>
          <t>Control panel location confirmed — accessible, not in detection zone</t>
        </is>
      </c>
      <c r="C28" s="27" t="inlineStr"/>
      <c r="D28" s="56" t="inlineStr"/>
      <c r="E28" s="41" t="inlineStr"/>
      <c r="F28" s="41" t="inlineStr"/>
    </row>
    <row r="29" ht="20" customHeight="1">
      <c r="A29" s="53" t="inlineStr">
        <is>
          <t>Power</t>
        </is>
      </c>
      <c r="B29" s="54" t="inlineStr">
        <is>
          <t>Standby power calculation — 12h standby minimum (Grade 2)</t>
        </is>
      </c>
      <c r="C29" s="27" t="inlineStr"/>
      <c r="D29" s="54" t="inlineStr"/>
      <c r="E29" s="37" t="inlineStr"/>
      <c r="F29" s="37" t="inlineStr"/>
    </row>
    <row r="30" ht="20" customHeight="1">
      <c r="A30" s="55" t="inlineStr">
        <is>
          <t>Zones</t>
        </is>
      </c>
      <c r="B30" s="56" t="inlineStr">
        <is>
          <t>Detection zones numbered and named — logic in spec</t>
        </is>
      </c>
      <c r="C30" s="27" t="inlineStr"/>
      <c r="D30" s="56" t="inlineStr"/>
      <c r="E30" s="41" t="inlineStr"/>
      <c r="F30" s="41" t="inlineStr"/>
    </row>
    <row r="32" ht="20" customHeight="1">
      <c r="A32" s="58" t="inlineStr">
        <is>
          <t xml:space="preserve">    ACCESS CONTROL — PRE-ISSUE CHECKS  (BS EN 60839-11)</t>
        </is>
      </c>
    </row>
    <row r="33" ht="18" customHeight="1">
      <c r="A33" s="47" t="inlineStr">
        <is>
          <t>Ref</t>
        </is>
      </c>
      <c r="B33" s="47" t="inlineStr">
        <is>
          <t>Check</t>
        </is>
      </c>
      <c r="C33" s="47" t="inlineStr">
        <is>
          <t>Pass/Fail/N/A</t>
        </is>
      </c>
      <c r="D33" s="47" t="inlineStr">
        <is>
          <t>Notes</t>
        </is>
      </c>
      <c r="E33" s="47" t="inlineStr"/>
      <c r="F33" s="47" t="inlineStr"/>
    </row>
    <row r="34" ht="20" customHeight="1">
      <c r="A34" s="55" t="inlineStr">
        <is>
          <t>Doors</t>
        </is>
      </c>
      <c r="B34" s="56" t="inlineStr">
        <is>
          <t>All controlled doors on drawing — strike type specified</t>
        </is>
      </c>
      <c r="C34" s="27" t="inlineStr"/>
      <c r="D34" s="56" t="inlineStr"/>
      <c r="E34" s="41" t="inlineStr"/>
      <c r="F34" s="41" t="inlineStr"/>
    </row>
    <row r="35" ht="20" customHeight="1">
      <c r="A35" s="53" t="inlineStr">
        <is>
          <t>Fire</t>
        </is>
      </c>
      <c r="B35" s="54" t="inlineStr">
        <is>
          <t>Fire alarm integration confirmed — fail-safe on alarm activation</t>
        </is>
      </c>
      <c r="C35" s="27" t="inlineStr"/>
      <c r="D35" s="54" t="inlineStr"/>
      <c r="E35" s="37" t="inlineStr"/>
      <c r="F35" s="37" t="inlineStr"/>
    </row>
    <row r="36" ht="20" customHeight="1">
      <c r="A36" s="55" t="inlineStr">
        <is>
          <t>DDA</t>
        </is>
      </c>
      <c r="B36" s="56" t="inlineStr">
        <is>
          <t>Accessible entry point(s) identified — door force &lt;30N</t>
        </is>
      </c>
      <c r="C36" s="27" t="inlineStr"/>
      <c r="D36" s="56" t="inlineStr"/>
      <c r="E36" s="41" t="inlineStr"/>
      <c r="F36" s="41" t="inlineStr"/>
    </row>
    <row r="37" ht="20" customHeight="1">
      <c r="A37" s="53" t="inlineStr">
        <is>
          <t>Anti-passback</t>
        </is>
      </c>
      <c r="B37" s="54" t="inlineStr">
        <is>
          <t>Anti-passback required? — confirmed with client</t>
        </is>
      </c>
      <c r="C37" s="27" t="inlineStr"/>
      <c r="D37" s="54" t="inlineStr"/>
      <c r="E37" s="37" t="inlineStr"/>
      <c r="F37" s="37" t="inlineStr"/>
    </row>
    <row r="38" ht="20" customHeight="1">
      <c r="A38" s="55" t="inlineStr">
        <is>
          <t>Credentials</t>
        </is>
      </c>
      <c r="B38" s="56" t="inlineStr">
        <is>
          <t>Credential type confirmed — card / mobile / biometric</t>
        </is>
      </c>
      <c r="C38" s="27" t="inlineStr"/>
      <c r="D38" s="56" t="inlineStr"/>
      <c r="E38" s="41" t="inlineStr"/>
      <c r="F38" s="41" t="inlineStr"/>
    </row>
    <row r="39" ht="20" customHeight="1">
      <c r="A39" s="53" t="inlineStr">
        <is>
          <t>Intruder link</t>
        </is>
      </c>
      <c r="B39" s="54" t="inlineStr">
        <is>
          <t>Access control to intruder integration specified</t>
        </is>
      </c>
      <c r="C39" s="27" t="inlineStr"/>
      <c r="D39" s="54" t="inlineStr"/>
      <c r="E39" s="37" t="inlineStr"/>
      <c r="F39" s="37" t="inlineStr"/>
    </row>
    <row r="41" ht="20" customHeight="1">
      <c r="A41" s="18" t="inlineStr">
        <is>
          <t xml:space="preserve">    GENERAL — ALL DISCIPLINES</t>
        </is>
      </c>
    </row>
    <row r="42" ht="18" customHeight="1">
      <c r="A42" s="47" t="inlineStr">
        <is>
          <t>Ref</t>
        </is>
      </c>
      <c r="B42" s="47" t="inlineStr">
        <is>
          <t>Check</t>
        </is>
      </c>
      <c r="C42" s="47" t="inlineStr">
        <is>
          <t>Pass/Fail/N/A</t>
        </is>
      </c>
      <c r="D42" s="47" t="inlineStr">
        <is>
          <t>Notes</t>
        </is>
      </c>
      <c r="E42" s="47" t="inlineStr"/>
      <c r="F42" s="47" t="inlineStr"/>
    </row>
    <row r="43" ht="20" customHeight="1">
      <c r="A43" s="53" t="inlineStr">
        <is>
          <t>Standards</t>
        </is>
      </c>
      <c r="B43" s="54" t="inlineStr">
        <is>
          <t>Relevant BS/EN standards referenced in drawing notes</t>
        </is>
      </c>
      <c r="C43" s="27" t="inlineStr"/>
      <c r="D43" s="54" t="inlineStr"/>
      <c r="E43" s="37" t="inlineStr"/>
      <c r="F43" s="37" t="inlineStr"/>
    </row>
    <row r="44" ht="20" customHeight="1">
      <c r="A44" s="55" t="inlineStr">
        <is>
          <t>Spec</t>
        </is>
      </c>
      <c r="B44" s="56" t="inlineStr">
        <is>
          <t>Equipment specification issued alongside drawings</t>
        </is>
      </c>
      <c r="C44" s="27" t="inlineStr"/>
      <c r="D44" s="56" t="inlineStr"/>
      <c r="E44" s="41" t="inlineStr"/>
      <c r="F44" s="41" t="inlineStr"/>
    </row>
    <row r="45" ht="20" customHeight="1">
      <c r="A45" s="53" t="inlineStr">
        <is>
          <t>Contractor brief</t>
        </is>
      </c>
      <c r="B45" s="54" t="inlineStr">
        <is>
          <t>Installation contractor briefed on any special requirements</t>
        </is>
      </c>
      <c r="C45" s="27" t="inlineStr"/>
      <c r="D45" s="54" t="inlineStr"/>
      <c r="E45" s="37" t="inlineStr"/>
      <c r="F45" s="37" t="inlineStr"/>
    </row>
    <row r="46" ht="20" customHeight="1">
      <c r="A46" s="55" t="inlineStr">
        <is>
          <t>As-built reminder</t>
        </is>
      </c>
      <c r="B46" s="56" t="inlineStr">
        <is>
          <t>As-built drawing requirement noted in contract documents</t>
        </is>
      </c>
      <c r="C46" s="27" t="inlineStr"/>
      <c r="D46" s="56" t="inlineStr"/>
      <c r="E46" s="41" t="inlineStr"/>
      <c r="F46" s="41" t="inlineStr"/>
    </row>
    <row r="47" ht="20" customHeight="1">
      <c r="A47" s="53" t="inlineStr">
        <is>
          <t>Client sign-off</t>
        </is>
      </c>
      <c r="B47" s="54" t="inlineStr">
        <is>
          <t>Client has signed off on coverage/spec before For Construction issue</t>
        </is>
      </c>
      <c r="C47" s="27" t="inlineStr"/>
      <c r="D47" s="54" t="inlineStr"/>
      <c r="E47" s="37" t="inlineStr"/>
      <c r="F47" s="37" t="inlineStr"/>
    </row>
  </sheetData>
  <mergeCells count="6">
    <mergeCell ref="A41:F41"/>
    <mergeCell ref="A5:F5"/>
    <mergeCell ref="A32:F32"/>
    <mergeCell ref="A1:F2"/>
    <mergeCell ref="A3:F3"/>
    <mergeCell ref="A21:F21"/>
  </mergeCells>
  <dataValidations count="32">
    <dataValidation sqref="C7" showDropDown="0" showInputMessage="0" showErrorMessage="0" allowBlank="1" type="list">
      <formula1>"PASS,FAIL,N/A,PENDING"</formula1>
    </dataValidation>
    <dataValidation sqref="C8" showDropDown="0" showInputMessage="0" showErrorMessage="0" allowBlank="1" type="list">
      <formula1>"PASS,FAIL,N/A,PENDING"</formula1>
    </dataValidation>
    <dataValidation sqref="C9" showDropDown="0" showInputMessage="0" showErrorMessage="0" allowBlank="1" type="list">
      <formula1>"PASS,FAIL,N/A,PENDING"</formula1>
    </dataValidation>
    <dataValidation sqref="C10" showDropDown="0" showInputMessage="0" showErrorMessage="0" allowBlank="1" type="list">
      <formula1>"PASS,FAIL,N/A,PENDING"</formula1>
    </dataValidation>
    <dataValidation sqref="C11" showDropDown="0" showInputMessage="0" showErrorMessage="0" allowBlank="1" type="list">
      <formula1>"PASS,FAIL,N/A,PENDING"</formula1>
    </dataValidation>
    <dataValidation sqref="C12" showDropDown="0" showInputMessage="0" showErrorMessage="0" allowBlank="1" type="list">
      <formula1>"PASS,FAIL,N/A,PENDING"</formula1>
    </dataValidation>
    <dataValidation sqref="C13" showDropDown="0" showInputMessage="0" showErrorMessage="0" allowBlank="1" type="list">
      <formula1>"PASS,FAIL,N/A,PENDING"</formula1>
    </dataValidation>
    <dataValidation sqref="C14" showDropDown="0" showInputMessage="0" showErrorMessage="0" allowBlank="1" type="list">
      <formula1>"PASS,FAIL,N/A,PENDING"</formula1>
    </dataValidation>
    <dataValidation sqref="C15" showDropDown="0" showInputMessage="0" showErrorMessage="0" allowBlank="1" type="list">
      <formula1>"PASS,FAIL,N/A,PENDING"</formula1>
    </dataValidation>
    <dataValidation sqref="C16" showDropDown="0" showInputMessage="0" showErrorMessage="0" allowBlank="1" type="list">
      <formula1>"PASS,FAIL,N/A,PENDING"</formula1>
    </dataValidation>
    <dataValidation sqref="C17" showDropDown="0" showInputMessage="0" showErrorMessage="0" allowBlank="1" type="list">
      <formula1>"PASS,FAIL,N/A,PENDING"</formula1>
    </dataValidation>
    <dataValidation sqref="C18" showDropDown="0" showInputMessage="0" showErrorMessage="0" allowBlank="1" type="list">
      <formula1>"PASS,FAIL,N/A,PENDING"</formula1>
    </dataValidation>
    <dataValidation sqref="C19" showDropDown="0" showInputMessage="0" showErrorMessage="0" allowBlank="1" type="list">
      <formula1>"PASS,FAIL,N/A,PENDING"</formula1>
    </dataValidation>
    <dataValidation sqref="C23" showDropDown="0" showInputMessage="0" showErrorMessage="0" allowBlank="1" type="list">
      <formula1>"PASS,FAIL,N/A,PENDING"</formula1>
    </dataValidation>
    <dataValidation sqref="C24" showDropDown="0" showInputMessage="0" showErrorMessage="0" allowBlank="1" type="list">
      <formula1>"PASS,FAIL,N/A,PENDING"</formula1>
    </dataValidation>
    <dataValidation sqref="C25" showDropDown="0" showInputMessage="0" showErrorMessage="0" allowBlank="1" type="list">
      <formula1>"PASS,FAIL,N/A,PENDING"</formula1>
    </dataValidation>
    <dataValidation sqref="C26" showDropDown="0" showInputMessage="0" showErrorMessage="0" allowBlank="1" type="list">
      <formula1>"PASS,FAIL,N/A,PENDING"</formula1>
    </dataValidation>
    <dataValidation sqref="C27" showDropDown="0" showInputMessage="0" showErrorMessage="0" allowBlank="1" type="list">
      <formula1>"PASS,FAIL,N/A,PENDING"</formula1>
    </dataValidation>
    <dataValidation sqref="C28" showDropDown="0" showInputMessage="0" showErrorMessage="0" allowBlank="1" type="list">
      <formula1>"PASS,FAIL,N/A,PENDING"</formula1>
    </dataValidation>
    <dataValidation sqref="C29" showDropDown="0" showInputMessage="0" showErrorMessage="0" allowBlank="1" type="list">
      <formula1>"PASS,FAIL,N/A,PENDING"</formula1>
    </dataValidation>
    <dataValidation sqref="C30" showDropDown="0" showInputMessage="0" showErrorMessage="0" allowBlank="1" type="list">
      <formula1>"PASS,FAIL,N/A,PENDING"</formula1>
    </dataValidation>
    <dataValidation sqref="C34" showDropDown="0" showInputMessage="0" showErrorMessage="0" allowBlank="1" type="list">
      <formula1>"PASS,FAIL,N/A,PENDING"</formula1>
    </dataValidation>
    <dataValidation sqref="C35" showDropDown="0" showInputMessage="0" showErrorMessage="0" allowBlank="1" type="list">
      <formula1>"PASS,FAIL,N/A,PENDING"</formula1>
    </dataValidation>
    <dataValidation sqref="C36" showDropDown="0" showInputMessage="0" showErrorMessage="0" allowBlank="1" type="list">
      <formula1>"PASS,FAIL,N/A,PENDING"</formula1>
    </dataValidation>
    <dataValidation sqref="C37" showDropDown="0" showInputMessage="0" showErrorMessage="0" allowBlank="1" type="list">
      <formula1>"PASS,FAIL,N/A,PENDING"</formula1>
    </dataValidation>
    <dataValidation sqref="C38" showDropDown="0" showInputMessage="0" showErrorMessage="0" allowBlank="1" type="list">
      <formula1>"PASS,FAIL,N/A,PENDING"</formula1>
    </dataValidation>
    <dataValidation sqref="C39" showDropDown="0" showInputMessage="0" showErrorMessage="0" allowBlank="1" type="list">
      <formula1>"PASS,FAIL,N/A,PENDING"</formula1>
    </dataValidation>
    <dataValidation sqref="C43" showDropDown="0" showInputMessage="0" showErrorMessage="0" allowBlank="1" type="list">
      <formula1>"PASS,FAIL,N/A,PENDING"</formula1>
    </dataValidation>
    <dataValidation sqref="C44" showDropDown="0" showInputMessage="0" showErrorMessage="0" allowBlank="1" type="list">
      <formula1>"PASS,FAIL,N/A,PENDING"</formula1>
    </dataValidation>
    <dataValidation sqref="C45" showDropDown="0" showInputMessage="0" showErrorMessage="0" allowBlank="1" type="list">
      <formula1>"PASS,FAIL,N/A,PENDING"</formula1>
    </dataValidation>
    <dataValidation sqref="C46" showDropDown="0" showInputMessage="0" showErrorMessage="0" allowBlank="1" type="list">
      <formula1>"PASS,FAIL,N/A,PENDING"</formula1>
    </dataValidation>
    <dataValidation sqref="C47" showDropDown="0" showInputMessage="0" showErrorMessage="0" allowBlank="1" type="list">
      <formula1>"PASS,FAIL,N/A,PENDING"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027A48"/>
    <outlinePr summaryBelow="1" summaryRight="1"/>
    <pageSetUpPr/>
  </sheetPr>
  <dimension ref="A1:F12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1" customWidth="1" min="1" max="1"/>
    <col width="14" customWidth="1" min="2" max="2"/>
    <col width="26" customWidth="1" min="3" max="3"/>
    <col width="74" customWidth="1" min="4" max="4"/>
    <col width="13" customWidth="1" min="5" max="5"/>
    <col width="11" customWidth="1" min="6" max="6"/>
  </cols>
  <sheetData>
    <row r="1" ht="26" customHeight="1">
      <c r="A1" s="1" t="inlineStr">
        <is>
          <t>COPELAND DESIGN STUDIO — RELEASE NOTES</t>
        </is>
      </c>
    </row>
    <row r="2" ht="8" customHeight="1"/>
    <row r="3" ht="16" customHeight="1">
      <c r="A3" s="2" t="inlineStr">
        <is>
          <t>Version history and feature release record</t>
        </is>
      </c>
    </row>
    <row r="5" ht="18" customHeight="1">
      <c r="A5" s="22" t="inlineStr">
        <is>
          <t>Version</t>
        </is>
      </c>
      <c r="B5" s="22" t="inlineStr">
        <is>
          <t>Date</t>
        </is>
      </c>
      <c r="C5" s="22" t="inlineStr">
        <is>
          <t>Release Name</t>
        </is>
      </c>
      <c r="D5" s="22" t="inlineStr">
        <is>
          <t>What's Included</t>
        </is>
      </c>
      <c r="E5" s="22" t="inlineStr">
        <is>
          <t>Status</t>
        </is>
      </c>
      <c r="F5" s="22" t="inlineStr">
        <is>
          <t>Owner</t>
        </is>
      </c>
    </row>
    <row r="6" ht="48" customHeight="1">
      <c r="A6" s="59" t="inlineStr">
        <is>
          <t>v1.0</t>
        </is>
      </c>
      <c r="B6" s="60" t="inlineStr">
        <is>
          <t>2026-06-26</t>
        </is>
      </c>
      <c r="C6" s="61" t="inlineStr">
        <is>
          <t>Foundation</t>
        </is>
      </c>
      <c r="D6" s="62" t="inlineStr">
        <is>
          <t>Project structure, 9 master documents (DS, SL, DT, SF, CS, EW, ES, CP, DM), design standards, symbol index, camera schedule reference, EcoWatch, event/Martyn's Law, client project index, design manual</t>
        </is>
      </c>
      <c r="E6" s="63" t="inlineStr">
        <is>
          <t>RELEASED</t>
        </is>
      </c>
      <c r="F6" s="60" t="inlineStr">
        <is>
          <t>PaulMc</t>
        </is>
      </c>
    </row>
    <row r="7" ht="48" customHeight="1">
      <c r="A7" s="59" t="inlineStr">
        <is>
          <t>v1.5</t>
        </is>
      </c>
      <c r="B7" s="60" t="inlineStr">
        <is>
          <t>2026-06-26</t>
        </is>
      </c>
      <c r="C7" s="61" t="inlineStr">
        <is>
          <t>Foundation + Drawing Pack</t>
        </is>
      </c>
      <c r="D7" s="62" t="inlineStr">
        <is>
          <t>Excel master workbook (5 sheets), A3 HTML engineering drawing sheet, CGS document numbering, client project 01–08 folder template</t>
        </is>
      </c>
      <c r="E7" s="63" t="inlineStr">
        <is>
          <t>RELEASED</t>
        </is>
      </c>
      <c r="F7" s="60" t="inlineStr">
        <is>
          <t>PaulMc</t>
        </is>
      </c>
    </row>
    <row r="8" ht="48" customHeight="1">
      <c r="A8" s="59" t="inlineStr">
        <is>
          <t>v1.6</t>
        </is>
      </c>
      <c r="B8" s="60" t="inlineStr">
        <is>
          <t>2026-06-27</t>
        </is>
      </c>
      <c r="C8" s="61" t="inlineStr">
        <is>
          <t>Smart Workbook</t>
        </is>
      </c>
      <c r="D8" s="62" t="inlineStr">
        <is>
          <t>Camera Schedule with 13 camera type dropdowns, auto-numbering (CAM-001…), lens H-FoV formula, bitrate suggestion, daily storage formula, PoE watts auto-calc. Storage Calculator with retention table. PoE Budget with switch schedule and budget check. Bill of Materials with auto camera counts and project grand total. Design Validation pre-issue checklist.</t>
        </is>
      </c>
      <c r="E8" s="63" t="inlineStr">
        <is>
          <t>RELEASED</t>
        </is>
      </c>
      <c r="F8" s="60" t="inlineStr">
        <is>
          <t>PaulMc</t>
        </is>
      </c>
    </row>
    <row r="9" ht="48" customHeight="1">
      <c r="A9" s="39" t="inlineStr">
        <is>
          <t>v1.7</t>
        </is>
      </c>
      <c r="B9" s="41" t="inlineStr">
        <is>
          <t>TBD</t>
        </is>
      </c>
      <c r="C9" s="8" t="inlineStr">
        <is>
          <t>Professional Drawing Sheet</t>
        </is>
      </c>
      <c r="D9" s="56" t="inlineStr">
        <is>
          <t>Upgraded A3 engineering drawing sheet, Copeland brand palette, premium typography, print-ready A3/A2 layouts</t>
        </is>
      </c>
      <c r="E9" s="64" t="inlineStr">
        <is>
          <t>PLANNED</t>
        </is>
      </c>
      <c r="F9" s="41" t="inlineStr">
        <is>
          <t>PaulMc</t>
        </is>
      </c>
    </row>
    <row r="10" ht="48" customHeight="1">
      <c r="A10" s="39" t="inlineStr">
        <is>
          <t>v1.2</t>
        </is>
      </c>
      <c r="B10" s="41" t="inlineStr">
        <is>
          <t>TBD</t>
        </is>
      </c>
      <c r="C10" s="8" t="inlineStr">
        <is>
          <t>Survey Pack</t>
        </is>
      </c>
      <c r="D10" s="56" t="inlineStr">
        <is>
          <t>7 survey forms as Word + PDF: CCTV, Intruder, Access Control, EcoWatch, Event Security, Martyn's Law, Security Risk Assessment</t>
        </is>
      </c>
      <c r="E10" s="64" t="inlineStr">
        <is>
          <t>PLANNED</t>
        </is>
      </c>
      <c r="F10" s="41" t="inlineStr">
        <is>
          <t>PaulMc</t>
        </is>
      </c>
    </row>
    <row r="11" ht="48" customHeight="1">
      <c r="A11" s="39" t="inlineStr">
        <is>
          <t>v1.1</t>
        </is>
      </c>
      <c r="B11" s="41" t="inlineStr">
        <is>
          <t>TBD</t>
        </is>
      </c>
      <c r="C11" s="8" t="inlineStr">
        <is>
          <t>Symbol Library</t>
        </is>
      </c>
      <c r="D11" s="56" t="inlineStr">
        <is>
          <t>Full graphical symbol library: CAD blocks (.dwg), SVG set, PDF sheet — CCTV, intruder, access, EcoWatch, event</t>
        </is>
      </c>
      <c r="E11" s="64" t="inlineStr">
        <is>
          <t>PLANNED</t>
        </is>
      </c>
      <c r="F11" s="41" t="inlineStr">
        <is>
          <t>PaulMc</t>
        </is>
      </c>
    </row>
    <row r="12" ht="48" customHeight="1">
      <c r="A12" s="39" t="inlineStr">
        <is>
          <t>v2.0</t>
        </is>
      </c>
      <c r="B12" s="41" t="inlineStr">
        <is>
          <t>TBD</t>
        </is>
      </c>
      <c r="C12" s="8" t="inlineStr">
        <is>
          <t>Copeland Design Studio</t>
        </is>
      </c>
      <c r="D12" s="56" t="inlineStr">
        <is>
          <t>Full integrated platform — one workbook drives drawings, schedules, BOM, reports. Complete drawing template set A0–A4. Full Design Manual.</t>
        </is>
      </c>
      <c r="E12" s="64" t="inlineStr">
        <is>
          <t>PLANNED</t>
        </is>
      </c>
      <c r="F12" s="41" t="inlineStr">
        <is>
          <t>PaulMc</t>
        </is>
      </c>
    </row>
  </sheetData>
  <mergeCells count="2">
    <mergeCell ref="A3:F3"/>
    <mergeCell ref="A1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2026-06-27T06:30:48Z</dcterms:created>
  <dcterms:modified xmlns:dcterms="http://purl.org/dc/terms/" xmlns:xsi="http://www.w3.org/2001/XMLSchema-instance" xsi:type="dcterms:W3CDTF">2026-06-27T06:30:48Z</dcterms:modified>
</cp:coreProperties>
</file>